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documenttasks+xml" PartName="/xl/documenttasks/documenttask1.xml"/>
  <Override ContentType="application/vnd.ms-excel.person+xml" PartName="/xl/persons/person.xml"/>
  <Override ContentType="application/vnd.ms-excel.threadedcomments+xml" PartName="/xl/threadedComments/threadedComment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erekening incl. btw" sheetId="1" r:id="rId5"/>
    <sheet state="visible" name="Berekening excl. btw" sheetId="2" r:id="rId6"/>
    <sheet state="visible" name="Parameters" sheetId="3" r:id="rId7"/>
    <sheet state="visible" name="Controle voorbeelden" sheetId="4" r:id="rId8"/>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tc={18618cf7-5c89-4662-9fed-545f1fb9f92d}</author>
    <author>tc={a2910bf2-ddc7-4e20-91bd-0e794a08e5e4}</author>
  </authors>
  <commentList>
    <comment authorId="0" xr:uid="{18618cf7-5c89-4662-9fed-545f1fb9f92d}" ref="B30">
      <text>
        <t xml:space="preserve">[Threaded comment]
 Your version of Excel allows you to read this threaded comment; however, any edits to it will get removed if the file is opened in a newer version of Excel. Learn more: https://go.microsoft.com/fwlink/?linkid=870924
Comment:
	Hier zou ik algemeen formuleren wat we laten meetellen voor deelnemers (dus niet specifiek voor deelnames). Ik heb daar een voorzet voor gedaan in het contract.
https://docs.google.com/document/d/1vY5THAch2nlRm6bhilzfVKvn04ofEnE_rujRP0uURLM/edit?tab=t.0
</t>
      </text>
    </comment>
    <comment authorId="1" xr:uid="{a2910bf2-ddc7-4e20-91bd-0e794a08e5e4}" ref="B39">
      <text>
        <t xml:space="preserve">[Threaded comment]
 Your version of Excel allows you to read this threaded comment; however, any edits to it will get removed if the file is opened in a newer version of Excel. Learn more: https://go.microsoft.com/fwlink/?linkid=870924
Comment:
	Bepalingen hieronder gelijk te zetten met het contract - best eerst dat bekijken en afkloppen
</t>
      </text>
    </comment>
  </commentList>
</comments>
</file>

<file path=xl/sharedStrings.xml><?xml version="1.0" encoding="utf-8"?>
<sst xmlns="http://schemas.openxmlformats.org/spreadsheetml/2006/main" count="147" uniqueCount="112">
  <si>
    <t>Schoolplanner</t>
  </si>
  <si>
    <t>https://www.cultuurconnect.be/diensten/schoolplanner</t>
  </si>
  <si>
    <t>Platform / regio :</t>
  </si>
  <si>
    <t>Verdeling opstartkost :</t>
  </si>
  <si>
    <t>Op maat</t>
  </si>
  <si>
    <t>← vul per partner zelf het aandeel in de opstartkost in (kolom E, samen 100%)</t>
  </si>
  <si>
    <t>Startdatum op Schoolplanner :</t>
  </si>
  <si>
    <t>← eerste maand waarin het platform live gaat voor de scholen</t>
  </si>
  <si>
    <t>Maanden licentie in opstartjaar :</t>
  </si>
  <si>
    <t>berekend: van de startmaand t.e.m. het einde van het seizoen (augustus)</t>
  </si>
  <si>
    <t>Indexfactor toegepast :</t>
  </si>
  <si>
    <t>berekend: 1,0000 vóór de indexeringsdatum, anders de indexfactor uit Parameters</t>
  </si>
  <si>
    <t>Partners op het platform</t>
  </si>
  <si>
    <t>Eénmalig (opstartkost)</t>
  </si>
  <si>
    <t>Licentie opstartjaar</t>
  </si>
  <si>
    <t>Totaal
opstartjaar</t>
  </si>
  <si>
    <t>Jaarlijkse licentiekost (volledig seizoen, geïndexeerd)</t>
  </si>
  <si>
    <t>Organisatie</t>
  </si>
  <si>
    <t>Type organisatie</t>
  </si>
  <si>
    <t>Inschatting deelnemers
scholenaanbod*</t>
  </si>
  <si>
    <t>Aandeel
opstartkost (%)</t>
  </si>
  <si>
    <t>Opstartkost</t>
  </si>
  <si>
    <t>Licentie
pro rata**</t>
  </si>
  <si>
    <t>Aandeel
platform</t>
  </si>
  <si>
    <t>Kost per
organisatie</t>
  </si>
  <si>
    <t>Variabel
(deelnemers)</t>
  </si>
  <si>
    <t>Licentie
volledig jaar</t>
  </si>
  <si>
    <t>Actief</t>
  </si>
  <si>
    <t>Totaal platform</t>
  </si>
  <si>
    <t>* Bevestigde / effectieve deelnemers aan het scholenaanbod. Voor een bibliotheek: enkel activiteiten (workshops, auteurslezingen, tentoonstellingen), exclusief klasuitleen en bibliotheekintroducties. ** Licentie opstartjaar = enkel basisprijs platform + kost per organisatie, pro rata; het variabel deel (deelnemers) zit hier niet in.</t>
  </si>
  <si>
    <t>Samenvatting (alle partners samen)</t>
  </si>
  <si>
    <t>Schoolplanner – eénmalige opstartkost</t>
  </si>
  <si>
    <t>Totaal opstartjaar (opstartkost + licentie pro rata)</t>
  </si>
  <si>
    <t>Jaarlijkse licentiekost volgende seizoenen (tarief op startdatum)</t>
  </si>
  <si>
    <t>volgende seizoenen worden verder geïndexeerd</t>
  </si>
  <si>
    <t>Opmerking :</t>
  </si>
  <si>
    <t>Alle prijzen zijn steeds inclusief btw en afgerond op 2 decimalen per kostenonderdeel.</t>
  </si>
  <si>
    <t>In het opstartjaar worden de basisprijs van het platform en de kost per organisatie pro rata per maand aangerekend (van de startmaand t.e.m. het einde van het seizoen, augustus). Het variabel deel (deelnemers) wordt niet pro rata aangerekend.</t>
  </si>
  <si>
    <t>Eén huis op een eigen platform: vul één organisatie in met 100% in kolom E; die draagt dan de volledige opstartkost en basisprijs (scenario A).</t>
  </si>
  <si>
    <t>Meerdere organisaties op een gedeeld platform: de opstartkost wordt verdeeld volgens de percentages in kolom E (samen 100%); de basisprijs wordt verdeeld pro rata de deelnemers (scenario B).</t>
  </si>
  <si>
    <t>Facturatie: aparte factuur per organisatie, 1x per jaar op het einde van het seizoen (zomer).</t>
  </si>
  <si>
    <t>Berekeningstool prijsmodel – alle bedragen excl. btw</t>
  </si>
  <si>
    <t>Alle invoer gebeurt op het tabblad 'Berekening incl. btw'; dit tabblad rekent dezelfde bedragen om naar excl. btw (afgerond op 2 decimalen).</t>
  </si>
  <si>
    <t>Alle prijzen zijn steeds exclusief btw en afgerond op 2 decimalen per kostenonderdeel.</t>
  </si>
  <si>
    <t>Schoolplanner – tariefparameters</t>
  </si>
  <si>
    <t>Tarieven incl. btw, prijspeil 2026. Pas enkel de gele cellen aan; alle berekeningen volgen automatisch.</t>
  </si>
  <si>
    <t>Tarieven (prijspeil 2026, incl. btw)</t>
  </si>
  <si>
    <t>Waarde</t>
  </si>
  <si>
    <t>Toelichting / bron</t>
  </si>
  <si>
    <t>Opstartkost per platform (eenmalig)</t>
  </si>
  <si>
    <t>Verdeeld over de startende partners volgens de percentages die zij zelf invullen (kolom E, samen 100%). Niet geïndexeerd. Bron: webinar Ontdek Schoolplanner (12/10/2026), slide 17.</t>
  </si>
  <si>
    <t>Cultuurcentrum / podiumhuis</t>
  </si>
  <si>
    <t>Basisprijs per platform (jaarlijks)</t>
  </si>
  <si>
    <t>Verdeeld over de partners pro rata deelnemers aan het scholenaanbod. Bron: slide 18.</t>
  </si>
  <si>
    <t>Museum</t>
  </si>
  <si>
    <t>Kost per huis of organisatie (jaarlijks)</t>
  </si>
  <si>
    <t>Vast bedrag per deelnemende organisatie op het platform. Bron: slide 18.</t>
  </si>
  <si>
    <t>Bibliotheek</t>
  </si>
  <si>
    <t>Kost per deelnemer scholenaanbod (jaarlijks)</t>
  </si>
  <si>
    <t>Per bevestigde/effectieve deelnemer aan het scholenaanbod. Bron: slide 18.</t>
  </si>
  <si>
    <t>Andere organisatie</t>
  </si>
  <si>
    <t>Btw-tarief</t>
  </si>
  <si>
    <t>Gebruikt om de bedragen excl. btw te berekenen (tarieven in de presentatie zijn incl. btw).</t>
  </si>
  <si>
    <t>Berekening geldig tot en met</t>
  </si>
  <si>
    <t>31 december 2026</t>
  </si>
  <si>
    <t>Aan te passen: de presentatie vermeldt geen geldigheidsdatum.</t>
  </si>
  <si>
    <t>Indexering</t>
  </si>
  <si>
    <t>Indexering van toepassing vanaf</t>
  </si>
  <si>
    <t>Jaarlijkse kosten (basisprijs platform, kost per organisatie, kost per deelnemer) worden geïndexeerd als de startdatum op of na deze datum valt.</t>
  </si>
  <si>
    <t>Basisindex (prijspeil 2026)</t>
  </si>
  <si>
    <t>IN TE VULLEN: indexcijfer van de referentiemaand waarop de tarieven van 2026 gebaseerd zijn (bv. gezondheidsindex, zoals bij Jouw Stad Leest).</t>
  </si>
  <si>
    <t>Nieuwe index (vanaf indexeringsdatum)</t>
  </si>
  <si>
    <t>IN TE VULLEN: indexcijfer van de referentiemaand voor de indexering op 1/1/2027.</t>
  </si>
  <si>
    <t>Indexfactor</t>
  </si>
  <si>
    <t>Berekend: nieuwe index / basisindex.</t>
  </si>
  <si>
    <t>Licentiejaar</t>
  </si>
  <si>
    <t>Eerste maand van het licentiejaar (seizoen)</t>
  </si>
  <si>
    <t>Licentiejaar = seizoen van september (9) t.e.m. augustus, met facturatie op het einde van het seizoen. In het opstartjaar wordt de licentie pro rata per maand aangerekend, van de startmaand t.e.m. het einde van het seizoen.</t>
  </si>
  <si>
    <t>Facturatie (slide 23)</t>
  </si>
  <si>
    <t>• Eénmalig: opstartkost</t>
  </si>
  <si>
    <t>• Jaarlijks: licentiekost (in het opstartjaar pro rata per maand)</t>
  </si>
  <si>
    <t>• Aparte facturatie per organisatie</t>
  </si>
  <si>
    <t>• 1x per jaar, op het einde van het seizoen (zomer)</t>
  </si>
  <si>
    <t>• Alle bedragen worden afgerond op 2 decimalen (per kostenonderdeel).</t>
  </si>
  <si>
    <t>Controle: tool vs. voorbeelden uit de presentatie</t>
  </si>
  <si>
    <t>Berekend met de tarieven van prijspeil 2026 (zonder indexering) voor een volledig licentiejaar, en vergeleken met de afgeronde bedragen op de slides. Verschil 0 = tool klopt.</t>
  </si>
  <si>
    <t>A. Eén huis op één platform (slide 19)</t>
  </si>
  <si>
    <t>Huis</t>
  </si>
  <si>
    <t>Deelnemers</t>
  </si>
  <si>
    <t>Platform</t>
  </si>
  <si>
    <t>Kost per huis</t>
  </si>
  <si>
    <t>Variabel</t>
  </si>
  <si>
    <t>Licentie (tool)</t>
  </si>
  <si>
    <t>Licentie (slide)</t>
  </si>
  <si>
    <t>Verschil</t>
  </si>
  <si>
    <t>Den Ichter</t>
  </si>
  <si>
    <t>De Grote Post</t>
  </si>
  <si>
    <t>CC Brasschaat</t>
  </si>
  <si>
    <t>CC De Ploter</t>
  </si>
  <si>
    <t>CC De Herbakker</t>
  </si>
  <si>
    <t>CC Knokke-Heist</t>
  </si>
  <si>
    <t>B. Gedeeld platform – Samenwerking Klein-Brabant (slide 21-22)</t>
  </si>
  <si>
    <t>Aandeel platform</t>
  </si>
  <si>
    <t>Kost per org.</t>
  </si>
  <si>
    <t>CC Ter Dilft</t>
  </si>
  <si>
    <t>cc Binder</t>
  </si>
  <si>
    <t>Fort Liezele</t>
  </si>
  <si>
    <t>De Abdij</t>
  </si>
  <si>
    <t>De Bib</t>
  </si>
  <si>
    <t>Totaal</t>
  </si>
  <si>
    <t>Opmerking: de slides ronden af op hele euro's, de tool op 2 decimalen. De kolom 'Verschil' vergelijkt daarom het tool-bedrag afgerond op hele euro's.</t>
  </si>
  <si>
    <t>Blauwe cijfers = gegevens overgenomen uit de presentatie (inschattingen van de huidige deelnemers).</t>
  </si>
</sst>
</file>

<file path=xl/styles.xml><?xml version="1.0" encoding="utf-8"?>
<styleSheet xmlns="http://schemas.openxmlformats.org/spreadsheetml/2006/main" xmlns:x14ac="http://schemas.microsoft.com/office/spreadsheetml/2009/9/ac" xmlns:mc="http://schemas.openxmlformats.org/markup-compatibility/2006">
  <numFmts count="7">
    <numFmt numFmtId="164" formatCode="dd/mm/yyyy"/>
    <numFmt numFmtId="165" formatCode="0.0000"/>
    <numFmt numFmtId="166" formatCode="#,##0;\-#,##0;\-"/>
    <numFmt numFmtId="167" formatCode="0.0%;\-0.0%;\-"/>
    <numFmt numFmtId="168" formatCode="[$€-2]\ #,##0.00;\-[$€-2]\ #,##0.00;\-"/>
    <numFmt numFmtId="169" formatCode="[$€-2]\ #,##0.00"/>
    <numFmt numFmtId="170" formatCode="[$€-2]\ #,##0.00;\-[$€-2]\ #,##0.00;[$€-2]\ 0.00"/>
  </numFmts>
  <fonts count="33">
    <font>
      <sz val="11.0"/>
      <color theme="1"/>
      <name val="Calibri"/>
      <scheme val="minor"/>
    </font>
    <font>
      <b/>
      <sz val="20.0"/>
      <color theme="1"/>
      <name val="Calibri"/>
    </font>
    <font>
      <u/>
      <sz val="11.0"/>
      <color theme="10"/>
      <name val="Calibri"/>
    </font>
    <font>
      <sz val="11.0"/>
      <color theme="1"/>
      <name val="Arial"/>
    </font>
    <font>
      <b/>
      <sz val="11.0"/>
      <color rgb="FF0000FF"/>
      <name val="Arial"/>
    </font>
    <font>
      <b/>
      <sz val="11.0"/>
      <color rgb="FF000000"/>
      <name val="Arial"/>
    </font>
    <font>
      <i/>
      <sz val="9.0"/>
      <color rgb="FF808080"/>
      <name val="Arial"/>
    </font>
    <font>
      <b/>
      <sz val="9.0"/>
      <color theme="1"/>
      <name val="Arial"/>
    </font>
    <font>
      <b/>
      <sz val="9.0"/>
      <color rgb="FF0000FF"/>
      <name val="Arial"/>
    </font>
    <font>
      <sz val="9.0"/>
      <color rgb="FF595959"/>
      <name val="Arial"/>
    </font>
    <font>
      <b/>
      <sz val="10.0"/>
      <color rgb="FF00843D"/>
      <name val="Arial"/>
    </font>
    <font/>
    <font>
      <b/>
      <sz val="9.0"/>
      <color rgb="FFFFFFFF"/>
      <name val="Arial"/>
    </font>
    <font>
      <sz val="10.0"/>
      <color rgb="FF0000FF"/>
      <name val="Arial"/>
    </font>
    <font>
      <sz val="10.0"/>
      <color theme="1"/>
      <name val="Arial"/>
    </font>
    <font>
      <b/>
      <sz val="10.0"/>
      <color theme="1"/>
      <name val="Arial"/>
    </font>
    <font>
      <color theme="1"/>
      <name val="Calibri"/>
      <scheme val="minor"/>
    </font>
    <font>
      <b/>
      <sz val="10.0"/>
      <color rgb="FFC00000"/>
      <name val="Arial"/>
    </font>
    <font>
      <i/>
      <sz val="8.0"/>
      <color rgb="FF595959"/>
      <name val="Arial"/>
    </font>
    <font>
      <b/>
      <sz val="12.0"/>
      <color rgb="FF00843D"/>
      <name val="Arial"/>
    </font>
    <font>
      <b/>
      <sz val="11.0"/>
      <color theme="1"/>
      <name val="Arial"/>
    </font>
    <font>
      <b/>
      <sz val="22.0"/>
      <color rgb="FF00843D"/>
      <name val="Arial"/>
    </font>
    <font>
      <sz val="12.0"/>
      <color rgb="FF595959"/>
      <name val="Arial"/>
    </font>
    <font>
      <b/>
      <sz val="11.0"/>
      <color rgb="FF008000"/>
      <name val="Arial"/>
    </font>
    <font>
      <i/>
      <sz val="9.0"/>
      <color rgb="FF595959"/>
      <name val="Arial"/>
    </font>
    <font>
      <sz val="10.0"/>
      <color rgb="FF008000"/>
      <name val="Arial"/>
    </font>
    <font>
      <b/>
      <sz val="14.0"/>
      <color rgb="FF00843D"/>
      <name val="Arial"/>
    </font>
    <font>
      <i/>
      <sz val="10.0"/>
      <color rgb="FF595959"/>
      <name val="Arial"/>
    </font>
    <font>
      <b/>
      <sz val="10.0"/>
      <color rgb="FFFFFFFF"/>
      <name val="Arial"/>
    </font>
    <font>
      <b/>
      <sz val="10.0"/>
      <color rgb="FF0000FF"/>
      <name val="Arial"/>
    </font>
    <font>
      <sz val="9.0"/>
      <color rgb="FF808080"/>
      <name val="Arial"/>
    </font>
    <font>
      <b/>
      <sz val="10.0"/>
      <color rgb="FF000000"/>
      <name val="Arial"/>
    </font>
    <font>
      <sz val="10.0"/>
      <color rgb="FF000000"/>
      <name val="Arial"/>
    </font>
  </fonts>
  <fills count="6">
    <fill>
      <patternFill patternType="none"/>
    </fill>
    <fill>
      <patternFill patternType="lightGray"/>
    </fill>
    <fill>
      <patternFill patternType="solid">
        <fgColor rgb="FFFFF2CC"/>
        <bgColor rgb="FFFFF2CC"/>
      </patternFill>
    </fill>
    <fill>
      <patternFill patternType="solid">
        <fgColor rgb="FF00843D"/>
        <bgColor rgb="FF00843D"/>
      </patternFill>
    </fill>
    <fill>
      <patternFill patternType="solid">
        <fgColor rgb="FFF2F2F2"/>
        <bgColor rgb="FFF2F2F2"/>
      </patternFill>
    </fill>
    <fill>
      <patternFill patternType="solid">
        <fgColor rgb="FFE3F1E8"/>
        <bgColor rgb="FFE3F1E8"/>
      </patternFill>
    </fill>
  </fills>
  <borders count="42">
    <border/>
    <border>
      <left style="thin">
        <color rgb="FFBFBFBF"/>
      </left>
      <right style="thin">
        <color rgb="FFBFBFBF"/>
      </right>
      <top style="thin">
        <color rgb="FFBFBFBF"/>
      </top>
      <bottom style="thin">
        <color rgb="FFBFBFBF"/>
      </bottom>
    </border>
    <border>
      <bottom style="medium">
        <color rgb="FF00843D"/>
      </bottom>
    </border>
    <border>
      <left style="thick">
        <color rgb="FF000000"/>
      </left>
      <top style="thick">
        <color rgb="FF000000"/>
      </top>
      <bottom style="medium">
        <color rgb="FF00843D"/>
      </bottom>
    </border>
    <border>
      <right style="medium">
        <color rgb="FF000000"/>
      </right>
      <top style="thick">
        <color rgb="FF000000"/>
      </top>
      <bottom style="medium">
        <color rgb="FF00843D"/>
      </bottom>
    </border>
    <border>
      <left style="thick">
        <color rgb="FF000000"/>
      </left>
      <right style="thick">
        <color rgb="FF000000"/>
      </right>
      <top style="thick">
        <color rgb="FF000000"/>
      </top>
      <bottom style="medium">
        <color rgb="FF00843D"/>
      </bottom>
    </border>
    <border>
      <top style="thick">
        <color rgb="FF000000"/>
      </top>
      <bottom style="medium">
        <color rgb="FF00843D"/>
      </bottom>
    </border>
    <border>
      <right style="thick">
        <color rgb="FF000000"/>
      </right>
      <top style="thick">
        <color rgb="FF000000"/>
      </top>
      <bottom style="medium">
        <color rgb="FF00843D"/>
      </bottom>
    </border>
    <border>
      <left/>
      <right/>
      <top/>
      <bottom/>
    </border>
    <border>
      <left/>
      <top/>
      <bottom/>
    </border>
    <border>
      <left style="thick">
        <color rgb="FF000000"/>
      </left>
      <right/>
      <top/>
      <bottom/>
    </border>
    <border>
      <left style="thick">
        <color rgb="FF000000"/>
      </left>
      <right style="thick">
        <color rgb="FF000000"/>
      </right>
      <bottom/>
    </border>
    <border>
      <left/>
      <right style="thick">
        <color rgb="FF000000"/>
      </right>
      <top/>
      <bottom/>
    </border>
    <border>
      <right/>
      <top/>
      <bottom/>
    </border>
    <border>
      <left style="thin">
        <color rgb="FFBFBFBF"/>
      </left>
      <top style="thin">
        <color rgb="FFBFBFBF"/>
      </top>
      <bottom style="thin">
        <color rgb="FFBFBFBF"/>
      </bottom>
    </border>
    <border>
      <left style="thick">
        <color rgb="FF000000"/>
      </left>
      <right/>
      <top style="thin">
        <color rgb="FFBFBFBF"/>
      </top>
      <bottom style="thin">
        <color rgb="FFBFBFBF"/>
      </bottom>
    </border>
    <border>
      <left style="thick">
        <color rgb="FF000000"/>
      </left>
      <right style="thick">
        <color rgb="FF000000"/>
      </right>
      <top style="thin">
        <color rgb="FFBFBFBF"/>
      </top>
      <bottom style="thin">
        <color rgb="FFBFBFBF"/>
      </bottom>
    </border>
    <border>
      <left style="thick">
        <color rgb="FF000000"/>
      </left>
      <right style="thin">
        <color rgb="FFBFBFBF"/>
      </right>
      <top style="thin">
        <color rgb="FFBFBFBF"/>
      </top>
      <bottom style="thin">
        <color rgb="FFBFBFBF"/>
      </bottom>
    </border>
    <border>
      <left style="thin">
        <color rgb="FFBFBFBF"/>
      </left>
      <right style="thick">
        <color rgb="FF000000"/>
      </right>
      <top style="thin">
        <color rgb="FFBFBFBF"/>
      </top>
      <bottom style="thin">
        <color rgb="FFBFBFBF"/>
      </bottom>
    </border>
    <border>
      <left style="thin">
        <color rgb="FFBFBFBF"/>
      </left>
      <right style="thin">
        <color rgb="FFBFBFBF"/>
      </right>
      <top style="medium">
        <color rgb="FF00843D"/>
      </top>
      <bottom style="medium">
        <color rgb="FF00843D"/>
      </bottom>
    </border>
    <border>
      <left style="thin">
        <color rgb="FFBFBFBF"/>
      </left>
      <top style="medium">
        <color rgb="FF00843D"/>
      </top>
      <bottom style="medium">
        <color rgb="FF00843D"/>
      </bottom>
    </border>
    <border>
      <left style="thick">
        <color rgb="FF000000"/>
      </left>
      <right/>
      <top style="medium">
        <color rgb="FF00843D"/>
      </top>
      <bottom style="thick">
        <color rgb="FF000000"/>
      </bottom>
    </border>
    <border>
      <left style="thin">
        <color rgb="FFBFBFBF"/>
      </left>
      <top style="medium">
        <color rgb="FF00843D"/>
      </top>
      <bottom style="thick">
        <color rgb="FF000000"/>
      </bottom>
    </border>
    <border>
      <left style="thick">
        <color rgb="FF000000"/>
      </left>
      <right style="thick">
        <color rgb="FF000000"/>
      </right>
      <top style="medium">
        <color rgb="FF00843D"/>
      </top>
      <bottom style="thick">
        <color rgb="FF000000"/>
      </bottom>
    </border>
    <border>
      <left style="thick">
        <color rgb="FF000000"/>
      </left>
      <right style="thin">
        <color rgb="FFBFBFBF"/>
      </right>
      <top style="medium">
        <color rgb="FF00843D"/>
      </top>
      <bottom style="thick">
        <color rgb="FF000000"/>
      </bottom>
    </border>
    <border>
      <left style="thin">
        <color rgb="FFBFBFBF"/>
      </left>
      <right style="thin">
        <color rgb="FFBFBFBF"/>
      </right>
      <top style="medium">
        <color rgb="FF00843D"/>
      </top>
      <bottom style="thick">
        <color rgb="FF000000"/>
      </bottom>
    </border>
    <border>
      <left style="thin">
        <color rgb="FFBFBFBF"/>
      </left>
      <right style="thick">
        <color rgb="FF000000"/>
      </right>
      <top style="medium">
        <color rgb="FF00843D"/>
      </top>
      <bottom style="thick">
        <color rgb="FF000000"/>
      </bottom>
    </border>
    <border>
      <bottom style="thin">
        <color rgb="FFBFBFBF"/>
      </bottom>
    </border>
    <border>
      <top/>
      <bottom/>
    </border>
    <border>
      <left/>
      <right/>
      <top/>
      <bottom style="thin">
        <color rgb="FFBFBFBF"/>
      </bottom>
    </border>
    <border>
      <left style="medium">
        <color rgb="FF000000"/>
      </left>
      <top style="medium">
        <color rgb="FF000000"/>
      </top>
      <bottom style="medium">
        <color rgb="FF00843D"/>
      </bottom>
    </border>
    <border>
      <right style="medium">
        <color rgb="FF000000"/>
      </right>
      <top style="medium">
        <color rgb="FF000000"/>
      </top>
      <bottom style="medium">
        <color rgb="FF00843D"/>
      </bottom>
    </border>
    <border>
      <top style="medium">
        <color rgb="FF000000"/>
      </top>
      <bottom style="medium">
        <color rgb="FF00843D"/>
      </bottom>
    </border>
    <border>
      <left/>
      <right style="medium">
        <color rgb="FF000000"/>
      </right>
      <top/>
      <bottom/>
    </border>
    <border>
      <left style="medium">
        <color rgb="FF000000"/>
      </left>
      <right/>
      <top/>
      <bottom/>
    </border>
    <border>
      <left style="thin">
        <color rgb="FFBFBFBF"/>
      </left>
      <right style="medium">
        <color rgb="FF000000"/>
      </right>
      <top style="thin">
        <color rgb="FFBFBFBF"/>
      </top>
      <bottom style="thin">
        <color rgb="FFBFBFBF"/>
      </bottom>
    </border>
    <border>
      <left style="medium">
        <color rgb="FF000000"/>
      </left>
      <right style="thin">
        <color rgb="FFBFBFBF"/>
      </right>
      <top style="thin">
        <color rgb="FFBFBFBF"/>
      </top>
      <bottom style="thin">
        <color rgb="FFBFBFBF"/>
      </bottom>
    </border>
    <border>
      <left style="thin">
        <color rgb="FFBFBFBF"/>
      </left>
      <right/>
      <top style="thin">
        <color rgb="FFBFBFBF"/>
      </top>
      <bottom style="thin">
        <color rgb="FFBFBFBF"/>
      </bottom>
    </border>
    <border>
      <left style="thin">
        <color rgb="FFBFBFBF"/>
      </left>
      <right/>
      <top style="medium">
        <color rgb="FF00843D"/>
      </top>
      <bottom style="medium">
        <color rgb="FF00843D"/>
      </bottom>
    </border>
    <border>
      <left style="thin">
        <color rgb="FFBFBFBF"/>
      </left>
      <right style="medium">
        <color rgb="FF000000"/>
      </right>
      <top style="medium">
        <color rgb="FF00843D"/>
      </top>
      <bottom style="medium">
        <color rgb="FF000000"/>
      </bottom>
    </border>
    <border>
      <left style="medium">
        <color rgb="FF000000"/>
      </left>
      <right style="thin">
        <color rgb="FFBFBFBF"/>
      </right>
      <top style="medium">
        <color rgb="FF00843D"/>
      </top>
      <bottom style="medium">
        <color rgb="FF000000"/>
      </bottom>
    </border>
    <border>
      <left style="thin">
        <color rgb="FFBFBFBF"/>
      </left>
      <right style="thin">
        <color rgb="FFBFBFBF"/>
      </right>
      <top style="medium">
        <color rgb="FF00843D"/>
      </top>
      <bottom style="medium">
        <color rgb="FF000000"/>
      </bottom>
    </border>
  </borders>
  <cellStyleXfs count="1">
    <xf borderId="0" fillId="0" fontId="0" numFmtId="0" applyAlignment="1" applyFont="1"/>
  </cellStyleXfs>
  <cellXfs count="119">
    <xf borderId="0" fillId="0" fontId="0" numFmtId="0" xfId="0" applyAlignment="1" applyFont="1">
      <alignment readingOrder="0" shrinkToFit="0" vertical="bottom" wrapText="0"/>
    </xf>
    <xf borderId="0" fillId="0" fontId="1" numFmtId="0" xfId="0" applyAlignment="1" applyFont="1">
      <alignment vertical="center"/>
    </xf>
    <xf borderId="0" fillId="0" fontId="2" numFmtId="0" xfId="0" applyFont="1"/>
    <xf borderId="0" fillId="0" fontId="3" numFmtId="0" xfId="0" applyFont="1"/>
    <xf borderId="1" fillId="2" fontId="4" numFmtId="0" xfId="0" applyBorder="1" applyFill="1" applyFont="1"/>
    <xf borderId="1" fillId="0" fontId="5" numFmtId="1" xfId="0" applyAlignment="1" applyBorder="1" applyFont="1" applyNumberFormat="1">
      <alignment horizontal="left"/>
    </xf>
    <xf borderId="0" fillId="0" fontId="6" numFmtId="0" xfId="0" applyFont="1"/>
    <xf borderId="1" fillId="2" fontId="4" numFmtId="164" xfId="0" applyAlignment="1" applyBorder="1" applyFill="1" applyFont="1" applyNumberFormat="1">
      <alignment horizontal="left" readingOrder="0"/>
    </xf>
    <xf borderId="1" fillId="0" fontId="5" numFmtId="165" xfId="0" applyAlignment="1" applyBorder="1" applyFont="1" applyNumberFormat="1">
      <alignment horizontal="left"/>
    </xf>
    <xf borderId="0" fillId="0" fontId="7" numFmtId="0" xfId="0" applyFont="1"/>
    <xf borderId="0" fillId="0" fontId="8" numFmtId="0" xfId="0" applyFont="1"/>
    <xf borderId="0" fillId="0" fontId="9" numFmtId="0" xfId="0" applyFont="1"/>
    <xf borderId="2" fillId="0" fontId="10" numFmtId="0" xfId="0" applyAlignment="1" applyBorder="1" applyFont="1">
      <alignment horizontal="center"/>
    </xf>
    <xf borderId="2" fillId="0" fontId="11" numFmtId="0" xfId="0" applyBorder="1" applyFont="1"/>
    <xf borderId="3" fillId="0" fontId="10" numFmtId="0" xfId="0" applyAlignment="1" applyBorder="1" applyFont="1">
      <alignment horizontal="center"/>
    </xf>
    <xf borderId="4" fillId="0" fontId="11" numFmtId="0" xfId="0" applyBorder="1" applyFont="1"/>
    <xf borderId="5" fillId="0" fontId="10" numFmtId="0" xfId="0" applyAlignment="1" applyBorder="1" applyFont="1">
      <alignment horizontal="center"/>
    </xf>
    <xf borderId="0" fillId="0" fontId="10" numFmtId="0" xfId="0" applyAlignment="1" applyFont="1">
      <alignment horizontal="center"/>
    </xf>
    <xf borderId="6" fillId="0" fontId="11" numFmtId="0" xfId="0" applyBorder="1" applyFont="1"/>
    <xf borderId="7" fillId="0" fontId="11" numFmtId="0" xfId="0" applyBorder="1" applyFont="1"/>
    <xf borderId="8" fillId="3" fontId="12" numFmtId="0" xfId="0" applyAlignment="1" applyBorder="1" applyFill="1" applyFont="1">
      <alignment horizontal="center" shrinkToFit="0" vertical="center" wrapText="1"/>
    </xf>
    <xf borderId="9" fillId="3" fontId="12" numFmtId="0" xfId="0" applyAlignment="1" applyBorder="1" applyFill="1" applyFont="1">
      <alignment horizontal="center" shrinkToFit="0" vertical="center" wrapText="1"/>
    </xf>
    <xf borderId="10" fillId="3" fontId="12" numFmtId="0" xfId="0" applyAlignment="1" applyBorder="1" applyFill="1" applyFont="1">
      <alignment horizontal="center" shrinkToFit="0" vertical="center" wrapText="1"/>
    </xf>
    <xf borderId="11" fillId="3" fontId="12" numFmtId="0" xfId="0" applyAlignment="1" applyBorder="1" applyFill="1" applyFont="1">
      <alignment horizontal="center" shrinkToFit="0" vertical="center" wrapText="1"/>
    </xf>
    <xf borderId="0" fillId="0" fontId="12" numFmtId="0" xfId="0" applyAlignment="1" applyFont="1">
      <alignment horizontal="center" shrinkToFit="0" vertical="center" wrapText="1"/>
    </xf>
    <xf borderId="12" fillId="3" fontId="12" numFmtId="0" xfId="0" applyAlignment="1" applyBorder="1" applyFill="1" applyFont="1">
      <alignment horizontal="center" shrinkToFit="0" vertical="center" wrapText="1"/>
    </xf>
    <xf borderId="13" fillId="3" fontId="12" numFmtId="0" xfId="0" applyAlignment="1" applyBorder="1" applyFill="1" applyFont="1">
      <alignment horizontal="center" shrinkToFit="0" vertical="center" wrapText="1"/>
    </xf>
    <xf borderId="1" fillId="2" fontId="13" numFmtId="0" xfId="0" applyBorder="1" applyFill="1" applyFont="1"/>
    <xf borderId="14" fillId="2" fontId="13" numFmtId="166" xfId="0" applyAlignment="1" applyBorder="1" applyFill="1" applyFont="1" applyNumberFormat="1">
      <alignment readingOrder="0"/>
    </xf>
    <xf borderId="15" fillId="2" fontId="13" numFmtId="167" xfId="0" applyBorder="1" applyFill="1" applyFont="1" applyNumberFormat="1"/>
    <xf borderId="14" fillId="0" fontId="14" numFmtId="168" xfId="0" applyBorder="1" applyFont="1" applyNumberFormat="1"/>
    <xf borderId="16" fillId="0" fontId="14" numFmtId="168" xfId="0" applyBorder="1" applyFont="1" applyNumberFormat="1"/>
    <xf borderId="0" fillId="0" fontId="14" numFmtId="168" xfId="0" applyFont="1" applyNumberFormat="1"/>
    <xf borderId="17" fillId="0" fontId="14" numFmtId="168" xfId="0" applyBorder="1" applyFont="1" applyNumberFormat="1"/>
    <xf borderId="1" fillId="0" fontId="14" numFmtId="168" xfId="0" applyBorder="1" applyFont="1" applyNumberFormat="1"/>
    <xf borderId="18" fillId="0" fontId="15" numFmtId="168" xfId="0" applyBorder="1" applyFont="1" applyNumberFormat="1"/>
    <xf borderId="0" fillId="0" fontId="16" numFmtId="0" xfId="0" applyFont="1"/>
    <xf borderId="14" fillId="4" fontId="14" numFmtId="168" xfId="0" applyBorder="1" applyFill="1" applyFont="1" applyNumberFormat="1"/>
    <xf borderId="16" fillId="4" fontId="14" numFmtId="168" xfId="0" applyBorder="1" applyFill="1" applyFont="1" applyNumberFormat="1"/>
    <xf borderId="17" fillId="4" fontId="14" numFmtId="168" xfId="0" applyBorder="1" applyFill="1" applyFont="1" applyNumberFormat="1"/>
    <xf borderId="1" fillId="4" fontId="14" numFmtId="168" xfId="0" applyBorder="1" applyFill="1" applyFont="1" applyNumberFormat="1"/>
    <xf borderId="18" fillId="4" fontId="15" numFmtId="168" xfId="0" applyBorder="1" applyFill="1" applyFont="1" applyNumberFormat="1"/>
    <xf borderId="1" fillId="2" fontId="13" numFmtId="0" xfId="0" applyAlignment="1" applyBorder="1" applyFill="1" applyFont="1">
      <alignment readingOrder="0"/>
    </xf>
    <xf borderId="15" fillId="2" fontId="13" numFmtId="9" xfId="0" applyAlignment="1" applyBorder="1" applyFill="1" applyFont="1" applyNumberFormat="1">
      <alignment readingOrder="0"/>
    </xf>
    <xf borderId="14" fillId="2" fontId="13" numFmtId="166" xfId="0" applyBorder="1" applyFill="1" applyFont="1" applyNumberFormat="1"/>
    <xf borderId="19" fillId="5" fontId="15" numFmtId="0" xfId="0" applyBorder="1" applyFill="1" applyFont="1"/>
    <xf borderId="20" fillId="5" fontId="15" numFmtId="166" xfId="0" applyBorder="1" applyFill="1" applyFont="1" applyNumberFormat="1"/>
    <xf borderId="21" fillId="5" fontId="15" numFmtId="167" xfId="0" applyBorder="1" applyFill="1" applyFont="1" applyNumberFormat="1"/>
    <xf borderId="22" fillId="5" fontId="15" numFmtId="168" xfId="0" applyBorder="1" applyFill="1" applyFont="1" applyNumberFormat="1"/>
    <xf borderId="23" fillId="5" fontId="15" numFmtId="168" xfId="0" applyBorder="1" applyFill="1" applyFont="1" applyNumberFormat="1"/>
    <xf borderId="0" fillId="0" fontId="15" numFmtId="168" xfId="0" applyFont="1" applyNumberFormat="1"/>
    <xf borderId="24" fillId="5" fontId="15" numFmtId="168" xfId="0" applyBorder="1" applyFill="1" applyFont="1" applyNumberFormat="1"/>
    <xf borderId="25" fillId="5" fontId="15" numFmtId="168" xfId="0" applyBorder="1" applyFill="1" applyFont="1" applyNumberFormat="1"/>
    <xf borderId="26" fillId="5" fontId="15" numFmtId="168" xfId="0" applyBorder="1" applyFill="1" applyFont="1" applyNumberFormat="1"/>
    <xf borderId="0" fillId="0" fontId="17" numFmtId="0" xfId="0" applyFont="1"/>
    <xf borderId="0" fillId="0" fontId="18" numFmtId="0" xfId="0" applyFont="1"/>
    <xf borderId="0" fillId="0" fontId="19" numFmtId="0" xfId="0" applyFont="1"/>
    <xf borderId="27" fillId="0" fontId="20" numFmtId="168" xfId="0" applyBorder="1" applyFont="1" applyNumberFormat="1"/>
    <xf borderId="9" fillId="5" fontId="20" numFmtId="0" xfId="0" applyBorder="1" applyFill="1" applyFont="1"/>
    <xf borderId="28" fillId="0" fontId="11" numFmtId="0" xfId="0" applyBorder="1" applyFont="1"/>
    <xf borderId="13" fillId="0" fontId="11" numFmtId="0" xfId="0" applyBorder="1" applyFont="1"/>
    <xf borderId="29" fillId="5" fontId="20" numFmtId="168" xfId="0" applyBorder="1" applyFill="1" applyFont="1" applyNumberFormat="1"/>
    <xf borderId="0" fillId="0" fontId="15" numFmtId="0" xfId="0" applyFont="1"/>
    <xf borderId="0" fillId="0" fontId="14" numFmtId="0" xfId="0" applyFont="1"/>
    <xf borderId="0" fillId="0" fontId="21" numFmtId="0" xfId="0" applyAlignment="1" applyFont="1">
      <alignment vertical="center"/>
    </xf>
    <xf borderId="0" fillId="0" fontId="22" numFmtId="0" xfId="0" applyFont="1"/>
    <xf borderId="1" fillId="0" fontId="23" numFmtId="0" xfId="0" applyBorder="1" applyFont="1"/>
    <xf borderId="1" fillId="0" fontId="23" numFmtId="1" xfId="0" applyBorder="1" applyFont="1" applyNumberFormat="1"/>
    <xf borderId="1" fillId="0" fontId="23" numFmtId="164" xfId="0" applyAlignment="1" applyBorder="1" applyFont="1" applyNumberFormat="1">
      <alignment horizontal="left"/>
    </xf>
    <xf borderId="1" fillId="0" fontId="23" numFmtId="1" xfId="0" applyAlignment="1" applyBorder="1" applyFont="1" applyNumberFormat="1">
      <alignment horizontal="left"/>
    </xf>
    <xf borderId="1" fillId="0" fontId="23" numFmtId="165" xfId="0" applyAlignment="1" applyBorder="1" applyFont="1" applyNumberFormat="1">
      <alignment horizontal="left"/>
    </xf>
    <xf borderId="0" fillId="0" fontId="24" numFmtId="0" xfId="0" applyFont="1"/>
    <xf borderId="30" fillId="0" fontId="10" numFmtId="0" xfId="0" applyAlignment="1" applyBorder="1" applyFont="1">
      <alignment horizontal="center"/>
    </xf>
    <xf borderId="31" fillId="0" fontId="11" numFmtId="0" xfId="0" applyBorder="1" applyFont="1"/>
    <xf borderId="32" fillId="0" fontId="11" numFmtId="0" xfId="0" applyBorder="1" applyFont="1"/>
    <xf borderId="33" fillId="3" fontId="12" numFmtId="0" xfId="0" applyAlignment="1" applyBorder="1" applyFill="1" applyFont="1">
      <alignment horizontal="center" shrinkToFit="0" vertical="center" wrapText="1"/>
    </xf>
    <xf borderId="34" fillId="3" fontId="12" numFmtId="0" xfId="0" applyAlignment="1" applyBorder="1" applyFill="1" applyFont="1">
      <alignment horizontal="center" shrinkToFit="0" vertical="center" wrapText="1"/>
    </xf>
    <xf borderId="1" fillId="0" fontId="25" numFmtId="0" xfId="0" applyBorder="1" applyFont="1"/>
    <xf borderId="1" fillId="0" fontId="25" numFmtId="166" xfId="0" applyBorder="1" applyFont="1" applyNumberFormat="1"/>
    <xf borderId="14" fillId="0" fontId="25" numFmtId="167" xfId="0" applyBorder="1" applyFont="1" applyNumberFormat="1"/>
    <xf borderId="35" fillId="0" fontId="14" numFmtId="168" xfId="0" applyBorder="1" applyFont="1" applyNumberFormat="1"/>
    <xf borderId="36" fillId="0" fontId="14" numFmtId="168" xfId="0" applyBorder="1" applyFont="1" applyNumberFormat="1"/>
    <xf borderId="35" fillId="0" fontId="15" numFmtId="168" xfId="0" applyBorder="1" applyFont="1" applyNumberFormat="1"/>
    <xf borderId="1" fillId="4" fontId="25" numFmtId="0" xfId="0" applyBorder="1" applyFill="1" applyFont="1"/>
    <xf borderId="1" fillId="4" fontId="25" numFmtId="166" xfId="0" applyBorder="1" applyFill="1" applyFont="1" applyNumberFormat="1"/>
    <xf borderId="37" fillId="4" fontId="25" numFmtId="167" xfId="0" applyBorder="1" applyFill="1" applyFont="1" applyNumberFormat="1"/>
    <xf borderId="35" fillId="4" fontId="14" numFmtId="168" xfId="0" applyBorder="1" applyFill="1" applyFont="1" applyNumberFormat="1"/>
    <xf borderId="36" fillId="4" fontId="14" numFmtId="168" xfId="0" applyBorder="1" applyFill="1" applyFont="1" applyNumberFormat="1"/>
    <xf borderId="35" fillId="4" fontId="15" numFmtId="168" xfId="0" applyBorder="1" applyFill="1" applyFont="1" applyNumberFormat="1"/>
    <xf borderId="19" fillId="5" fontId="15" numFmtId="166" xfId="0" applyBorder="1" applyFill="1" applyFont="1" applyNumberFormat="1"/>
    <xf borderId="38" fillId="5" fontId="15" numFmtId="167" xfId="0" applyBorder="1" applyFill="1" applyFont="1" applyNumberFormat="1"/>
    <xf borderId="39" fillId="5" fontId="15" numFmtId="168" xfId="0" applyBorder="1" applyFill="1" applyFont="1" applyNumberFormat="1"/>
    <xf borderId="40" fillId="5" fontId="15" numFmtId="168" xfId="0" applyBorder="1" applyFill="1" applyFont="1" applyNumberFormat="1"/>
    <xf borderId="41" fillId="5" fontId="15" numFmtId="168" xfId="0" applyBorder="1" applyFill="1" applyFont="1" applyNumberFormat="1"/>
    <xf borderId="0" fillId="0" fontId="26" numFmtId="0" xfId="0" applyFont="1"/>
    <xf borderId="0" fillId="0" fontId="27" numFmtId="0" xfId="0" applyFont="1"/>
    <xf borderId="8" fillId="3" fontId="28" numFmtId="0" xfId="0" applyBorder="1" applyFill="1" applyFont="1"/>
    <xf borderId="1" fillId="0" fontId="14" numFmtId="0" xfId="0" applyBorder="1" applyFont="1"/>
    <xf borderId="1" fillId="2" fontId="29" numFmtId="168" xfId="0" applyAlignment="1" applyBorder="1" applyFill="1" applyFont="1" applyNumberFormat="1">
      <alignment horizontal="right"/>
    </xf>
    <xf borderId="1" fillId="0" fontId="9" numFmtId="0" xfId="0" applyAlignment="1" applyBorder="1" applyFont="1">
      <alignment shrinkToFit="0" vertical="top" wrapText="1"/>
    </xf>
    <xf borderId="0" fillId="0" fontId="30" numFmtId="0" xfId="0" applyFont="1"/>
    <xf borderId="1" fillId="2" fontId="29" numFmtId="169" xfId="0" applyAlignment="1" applyBorder="1" applyFill="1" applyFont="1" applyNumberFormat="1">
      <alignment horizontal="right"/>
    </xf>
    <xf borderId="1" fillId="2" fontId="29" numFmtId="9" xfId="0" applyAlignment="1" applyBorder="1" applyFill="1" applyFont="1" applyNumberFormat="1">
      <alignment horizontal="right"/>
    </xf>
    <xf borderId="1" fillId="2" fontId="29" numFmtId="49" xfId="0" applyAlignment="1" applyBorder="1" applyFill="1" applyFont="1" applyNumberFormat="1">
      <alignment horizontal="right"/>
    </xf>
    <xf borderId="1" fillId="2" fontId="29" numFmtId="164" xfId="0" applyAlignment="1" applyBorder="1" applyFill="1" applyFont="1" applyNumberFormat="1">
      <alignment horizontal="right"/>
    </xf>
    <xf borderId="1" fillId="2" fontId="29" numFmtId="2" xfId="0" applyAlignment="1" applyBorder="1" applyFill="1" applyFont="1" applyNumberFormat="1">
      <alignment horizontal="right"/>
    </xf>
    <xf borderId="1" fillId="0" fontId="31" numFmtId="165" xfId="0" applyAlignment="1" applyBorder="1" applyFont="1" applyNumberFormat="1">
      <alignment horizontal="right"/>
    </xf>
    <xf borderId="1" fillId="2" fontId="29" numFmtId="1" xfId="0" applyAlignment="1" applyBorder="1" applyFill="1" applyFont="1" applyNumberFormat="1">
      <alignment horizontal="right"/>
    </xf>
    <xf borderId="0" fillId="0" fontId="10" numFmtId="0" xfId="0" applyFont="1"/>
    <xf borderId="0" fillId="0" fontId="20" numFmtId="0" xfId="0" applyFont="1"/>
    <xf borderId="1" fillId="0" fontId="32" numFmtId="0" xfId="0" applyBorder="1" applyFont="1"/>
    <xf borderId="1" fillId="0" fontId="13" numFmtId="166" xfId="0" applyBorder="1" applyFont="1" applyNumberFormat="1"/>
    <xf borderId="1" fillId="0" fontId="32" numFmtId="168" xfId="0" applyBorder="1" applyFont="1" applyNumberFormat="1"/>
    <xf borderId="1" fillId="0" fontId="13" numFmtId="168" xfId="0" applyBorder="1" applyFont="1" applyNumberFormat="1"/>
    <xf borderId="1" fillId="0" fontId="32" numFmtId="170" xfId="0" applyBorder="1" applyFont="1" applyNumberFormat="1"/>
    <xf borderId="1" fillId="5" fontId="31" numFmtId="0" xfId="0" applyBorder="1" applyFill="1" applyFont="1"/>
    <xf borderId="1" fillId="5" fontId="31" numFmtId="166" xfId="0" applyBorder="1" applyFill="1" applyFont="1" applyNumberFormat="1"/>
    <xf borderId="1" fillId="5" fontId="31" numFmtId="168" xfId="0" applyBorder="1" applyFill="1" applyFont="1" applyNumberFormat="1"/>
    <xf borderId="1" fillId="5" fontId="31" numFmtId="170" xfId="0" applyBorder="1" applyFill="1" applyFont="1" applyNumberFormat="1"/>
  </cellXfs>
  <cellStyles count="1">
    <cellStyle xfId="0" name="Normal" builtinId="0"/>
  </cellStyles>
  <dxfs count="2">
    <dxf>
      <font/>
      <fill>
        <patternFill patternType="solid">
          <fgColor rgb="FFF8CBAD"/>
          <bgColor rgb="FFF8CBAD"/>
        </patternFill>
      </fill>
      <border/>
    </dxf>
    <dxf>
      <font/>
      <fill>
        <patternFill patternType="solid">
          <fgColor rgb="FFC6EFCE"/>
          <bgColor rgb="FFC6EF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ocumenttasks/documenttask1.xml><?xml version="1.0" encoding="utf-8"?>
<Tasks xmlns="http://schemas.microsoft.com/office/tasks/2019/documenttask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0</xdr:rowOff>
    </xdr:from>
    <xdr:ext cx="742950" cy="809625"/>
    <xdr:pic>
      <xdr:nvPicPr>
        <xdr:cNvPr descr="Picture"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0</xdr:rowOff>
    </xdr:from>
    <xdr:ext cx="742950" cy="809625"/>
    <xdr:pic>
      <xdr:nvPicPr>
        <xdr:cNvPr descr="Picture"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x18tc:person displayName="Unknown Author" id="{306b6d6d-bbe1-49a1-a307-5eace37bbc98}" providerId="google-sheets"/>
</x18tc:personList>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B39" dT="2026-10-23T15:33:23.00" personId="{306b6d6d-bbe1-49a1-a307-5eace37bbc98}" id="{a2910bf2-ddc7-4e20-91bd-0e794a08e5e4}" done="0">
    <x18tc:text xml:space="preserve">Bepalingen hieronder gelijk te zetten met het contract - best eerst dat bekijken en afkloppen</x18tc:text>
  </x18tc:threadedComment>
  <x18tc:threadedComment ref="B30" dT="2026-10-23T15:33:23.00" personId="{306b6d6d-bbe1-49a1-a307-5eace37bbc98}" id="{18618cf7-5c89-4662-9fed-545f1fb9f92d}" done="0">
    <x18tc:text xml:space="preserve">Hier zou ik algemeen formuleren wat we laten meetellen voor deelnemers (dus niet specifiek voor deelnames). Ik heb daar een voorzet voor gedaan in het contract.
https://docs.google.com/document/d/1vY5THAch2nlRm6bhilzfVKvn04ofEnE_rujRP0uURLM/edit?tab=t.0</x18tc:text>
    <x18tc:extLst>
      <ext uri="{F7C98A9C-CBB3-438F-8F68-D28B6AF4A901}">
        <xltc2:checksum/>
        <xltc2:hyperlink startIndex="161" length="92" url="https://docs.google.com/document/d/1vY5THAch2nlRm6bhilzfVKvn04ofEnE_rujRP0uURLM/edit?tab=t.0"/>
      </ext>
    </x18tc:extLst>
  </x18tc:threadedComment>
</x18tc:ThreadedComments>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microsoft.com/office/2017/10/relationships/threadedComment" Target="../threadedComments/threadedComment1.xml"/><Relationship Id="rId3" Type="http://schemas.microsoft.com/office/2019/04/relationships/documenttask" Target="../documenttasks/documenttask1.xml"/><Relationship Id="rId4" Type="http://schemas.openxmlformats.org/officeDocument/2006/relationships/hyperlink" Target="https://www.cultuurconnect.be/diensten/schoolplanner" TargetMode="External"/><Relationship Id="rId5" Type="http://schemas.openxmlformats.org/officeDocument/2006/relationships/drawing" Target="../drawings/drawing1.xml"/><Relationship Id="rId6"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2.0"/>
    <col customWidth="1" min="2" max="2" width="32.0"/>
    <col customWidth="1" min="3" max="3" width="44.0"/>
    <col customWidth="1" min="4" max="4" width="22.0"/>
    <col customWidth="1" min="5" max="5" width="17.0"/>
    <col customWidth="1" min="6" max="6" width="13.0"/>
    <col customWidth="1" min="7" max="7" width="18.71"/>
    <col customWidth="1" min="8" max="8" width="15.0"/>
    <col customWidth="1" min="9" max="9" width="9.43"/>
    <col customWidth="1" min="10" max="12" width="13.0"/>
    <col customWidth="1" min="13" max="13" width="14.0"/>
    <col customWidth="1" hidden="1" min="14" max="14" width="6.0"/>
  </cols>
  <sheetData>
    <row r="2">
      <c r="C2" s="1" t="s">
        <v>0</v>
      </c>
    </row>
    <row r="4">
      <c r="C4" s="2" t="s">
        <v>1</v>
      </c>
    </row>
    <row r="7">
      <c r="B7" s="3" t="s">
        <v>2</v>
      </c>
      <c r="C7" s="4"/>
    </row>
    <row r="8">
      <c r="B8" s="3" t="s">
        <v>3</v>
      </c>
      <c r="C8" s="5" t="s">
        <v>4</v>
      </c>
      <c r="D8" s="6" t="s">
        <v>5</v>
      </c>
    </row>
    <row r="9">
      <c r="B9" s="3" t="s">
        <v>6</v>
      </c>
      <c r="C9" s="7">
        <v>46478.0</v>
      </c>
      <c r="D9" s="6" t="s">
        <v>7</v>
      </c>
    </row>
    <row r="10">
      <c r="B10" s="3" t="s">
        <v>8</v>
      </c>
      <c r="C10" s="5">
        <f>IF(ISNUMBER(C9),12-MOD(MONTH(C9)-Parameters!$C$20,12),"")</f>
        <v>5</v>
      </c>
      <c r="D10" s="6" t="s">
        <v>9</v>
      </c>
    </row>
    <row r="11">
      <c r="B11" s="3" t="s">
        <v>10</v>
      </c>
      <c r="C11" s="8">
        <f>IF(AND(ISNUMBER(C9),C9&gt;=Parameters!$C$14),Parameters!$C$17,1)</f>
        <v>1</v>
      </c>
      <c r="D11" s="6" t="s">
        <v>11</v>
      </c>
    </row>
    <row r="13">
      <c r="B13" s="9"/>
      <c r="C13" s="10"/>
      <c r="D13" s="11"/>
    </row>
    <row r="14">
      <c r="B14" s="12" t="s">
        <v>12</v>
      </c>
      <c r="C14" s="13"/>
      <c r="D14" s="13"/>
      <c r="E14" s="14" t="s">
        <v>13</v>
      </c>
      <c r="F14" s="15"/>
      <c r="G14" s="16" t="s">
        <v>14</v>
      </c>
      <c r="H14" s="16" t="s">
        <v>15</v>
      </c>
      <c r="I14" s="17"/>
      <c r="J14" s="14" t="s">
        <v>16</v>
      </c>
      <c r="K14" s="18"/>
      <c r="L14" s="18"/>
      <c r="M14" s="19"/>
    </row>
    <row r="15" ht="31.5" customHeight="1">
      <c r="B15" s="20" t="s">
        <v>17</v>
      </c>
      <c r="C15" s="20" t="s">
        <v>18</v>
      </c>
      <c r="D15" s="21" t="s">
        <v>19</v>
      </c>
      <c r="E15" s="22" t="s">
        <v>20</v>
      </c>
      <c r="F15" s="21" t="s">
        <v>21</v>
      </c>
      <c r="G15" s="23" t="s">
        <v>22</v>
      </c>
      <c r="H15" s="23" t="s">
        <v>15</v>
      </c>
      <c r="I15" s="24"/>
      <c r="J15" s="22" t="s">
        <v>23</v>
      </c>
      <c r="K15" s="20" t="s">
        <v>24</v>
      </c>
      <c r="L15" s="20" t="s">
        <v>25</v>
      </c>
      <c r="M15" s="25" t="s">
        <v>26</v>
      </c>
      <c r="N15" s="26" t="s">
        <v>27</v>
      </c>
    </row>
    <row r="16">
      <c r="B16" s="27"/>
      <c r="C16" s="27"/>
      <c r="D16" s="28"/>
      <c r="E16" s="29"/>
      <c r="F16" s="30">
        <f>IF(N16=0,0,ROUND(Parameters!$C$6*N(E16),2))</f>
        <v>0</v>
      </c>
      <c r="G16" s="31">
        <f t="shared" ref="G16:G27" si="1">IF(OR(N16=0,$C$10=""),0,ROUND((J16+K16)*$C$10/12,2))</f>
        <v>0</v>
      </c>
      <c r="H16" s="31">
        <f t="shared" ref="H16:H27" si="2">F16+G16</f>
        <v>0</v>
      </c>
      <c r="I16" s="32"/>
      <c r="J16" s="33">
        <f>IF(N16=0,0,ROUND(Parameters!$C$7*$C$11*IF($D$28&gt;0,N(D16)/$D$28,1/$N$28),2))</f>
        <v>0</v>
      </c>
      <c r="K16" s="34">
        <f>IF(N16=1,ROUND(Parameters!$C$8*$C$11,2),0)</f>
        <v>0</v>
      </c>
      <c r="L16" s="34">
        <f>IF(N16=0,0,ROUND(N(D16)*Parameters!$C$9*$C$11,2))</f>
        <v>0</v>
      </c>
      <c r="M16" s="35">
        <f t="shared" ref="M16:M27" si="3">J16+K16+L16</f>
        <v>0</v>
      </c>
      <c r="N16" s="36">
        <f t="shared" ref="N16:N27" si="4">IF(OR(LEN(TRIM(B16&amp;""))&gt;0,N(D16)&gt;0),1,0)</f>
        <v>0</v>
      </c>
    </row>
    <row r="17">
      <c r="B17" s="27"/>
      <c r="C17" s="27"/>
      <c r="D17" s="28"/>
      <c r="E17" s="29"/>
      <c r="F17" s="37">
        <f>IF(N17=0,0,ROUND(Parameters!$C$6*N(E17),2))</f>
        <v>0</v>
      </c>
      <c r="G17" s="38">
        <f t="shared" si="1"/>
        <v>0</v>
      </c>
      <c r="H17" s="38">
        <f t="shared" si="2"/>
        <v>0</v>
      </c>
      <c r="I17" s="32"/>
      <c r="J17" s="39">
        <f>IF(N17=0,0,ROUND(Parameters!$C$7*$C$11*IF($D$28&gt;0,N(D17)/$D$28,1/$N$28),2))</f>
        <v>0</v>
      </c>
      <c r="K17" s="40">
        <f>IF(N17=1,ROUND(Parameters!$C$8*$C$11,2),0)</f>
        <v>0</v>
      </c>
      <c r="L17" s="40">
        <f>IF(N17=0,0,ROUND(N(D17)*Parameters!$C$9*$C$11,2))</f>
        <v>0</v>
      </c>
      <c r="M17" s="41">
        <f t="shared" si="3"/>
        <v>0</v>
      </c>
      <c r="N17" s="36">
        <f t="shared" si="4"/>
        <v>0</v>
      </c>
    </row>
    <row r="18">
      <c r="B18" s="42"/>
      <c r="C18" s="42"/>
      <c r="D18" s="28"/>
      <c r="E18" s="43"/>
      <c r="F18" s="30">
        <f>IF(N18=0,0,ROUND(Parameters!$C$6*N(E18),2))</f>
        <v>0</v>
      </c>
      <c r="G18" s="31">
        <f t="shared" si="1"/>
        <v>0</v>
      </c>
      <c r="H18" s="31">
        <f t="shared" si="2"/>
        <v>0</v>
      </c>
      <c r="I18" s="32"/>
      <c r="J18" s="33">
        <f>IF(N18=0,0,ROUND(Parameters!$C$7*$C$11*IF($D$28&gt;0,N(D18)/$D$28,1/$N$28),2))</f>
        <v>0</v>
      </c>
      <c r="K18" s="34">
        <f>IF(N18=1,ROUND(Parameters!$C$8*$C$11,2),0)</f>
        <v>0</v>
      </c>
      <c r="L18" s="34">
        <f>IF(N18=0,0,ROUND(N(D18)*Parameters!$C$9*$C$11,2))</f>
        <v>0</v>
      </c>
      <c r="M18" s="35">
        <f t="shared" si="3"/>
        <v>0</v>
      </c>
      <c r="N18" s="36">
        <f t="shared" si="4"/>
        <v>0</v>
      </c>
    </row>
    <row r="19">
      <c r="B19" s="27"/>
      <c r="C19" s="27"/>
      <c r="D19" s="44"/>
      <c r="E19" s="29"/>
      <c r="F19" s="37">
        <f>IF(N19=0,0,ROUND(Parameters!$C$6*N(E19),2))</f>
        <v>0</v>
      </c>
      <c r="G19" s="38">
        <f t="shared" si="1"/>
        <v>0</v>
      </c>
      <c r="H19" s="38">
        <f t="shared" si="2"/>
        <v>0</v>
      </c>
      <c r="I19" s="32"/>
      <c r="J19" s="39">
        <f>IF(N19=0,0,ROUND(Parameters!$C$7*$C$11*IF($D$28&gt;0,N(D19)/$D$28,1/$N$28),2))</f>
        <v>0</v>
      </c>
      <c r="K19" s="40">
        <f>IF(N19=1,ROUND(Parameters!$C$8*$C$11,2),0)</f>
        <v>0</v>
      </c>
      <c r="L19" s="40">
        <f>IF(N19=0,0,ROUND(N(D19)*Parameters!$C$9*$C$11,2))</f>
        <v>0</v>
      </c>
      <c r="M19" s="41">
        <f t="shared" si="3"/>
        <v>0</v>
      </c>
      <c r="N19" s="36">
        <f t="shared" si="4"/>
        <v>0</v>
      </c>
    </row>
    <row r="20">
      <c r="B20" s="27"/>
      <c r="C20" s="27"/>
      <c r="D20" s="44"/>
      <c r="E20" s="29"/>
      <c r="F20" s="30">
        <f>IF(N20=0,0,ROUND(Parameters!$C$6*N(E20),2))</f>
        <v>0</v>
      </c>
      <c r="G20" s="31">
        <f t="shared" si="1"/>
        <v>0</v>
      </c>
      <c r="H20" s="31">
        <f t="shared" si="2"/>
        <v>0</v>
      </c>
      <c r="I20" s="32"/>
      <c r="J20" s="33">
        <f>IF(N20=0,0,ROUND(Parameters!$C$7*$C$11*IF($D$28&gt;0,N(D20)/$D$28,1/$N$28),2))</f>
        <v>0</v>
      </c>
      <c r="K20" s="34">
        <f>IF(N20=1,ROUND(Parameters!$C$8*$C$11,2),0)</f>
        <v>0</v>
      </c>
      <c r="L20" s="34">
        <f>IF(N20=0,0,ROUND(N(D20)*Parameters!$C$9*$C$11,2))</f>
        <v>0</v>
      </c>
      <c r="M20" s="35">
        <f t="shared" si="3"/>
        <v>0</v>
      </c>
      <c r="N20" s="36">
        <f t="shared" si="4"/>
        <v>0</v>
      </c>
    </row>
    <row r="21" ht="15.75" customHeight="1">
      <c r="B21" s="27"/>
      <c r="C21" s="27"/>
      <c r="D21" s="44"/>
      <c r="E21" s="29"/>
      <c r="F21" s="37">
        <f>IF(N21=0,0,ROUND(Parameters!$C$6*N(E21),2))</f>
        <v>0</v>
      </c>
      <c r="G21" s="38">
        <f t="shared" si="1"/>
        <v>0</v>
      </c>
      <c r="H21" s="38">
        <f t="shared" si="2"/>
        <v>0</v>
      </c>
      <c r="I21" s="32"/>
      <c r="J21" s="39">
        <f>IF(N21=0,0,ROUND(Parameters!$C$7*$C$11*IF($D$28&gt;0,N(D21)/$D$28,1/$N$28),2))</f>
        <v>0</v>
      </c>
      <c r="K21" s="40">
        <f>IF(N21=1,ROUND(Parameters!$C$8*$C$11,2),0)</f>
        <v>0</v>
      </c>
      <c r="L21" s="40">
        <f>IF(N21=0,0,ROUND(N(D21)*Parameters!$C$9*$C$11,2))</f>
        <v>0</v>
      </c>
      <c r="M21" s="41">
        <f t="shared" si="3"/>
        <v>0</v>
      </c>
      <c r="N21" s="36">
        <f t="shared" si="4"/>
        <v>0</v>
      </c>
    </row>
    <row r="22" ht="15.75" customHeight="1">
      <c r="B22" s="27"/>
      <c r="C22" s="27"/>
      <c r="D22" s="44"/>
      <c r="E22" s="29"/>
      <c r="F22" s="30">
        <f>IF(N22=0,0,ROUND(Parameters!$C$6*N(E22),2))</f>
        <v>0</v>
      </c>
      <c r="G22" s="31">
        <f t="shared" si="1"/>
        <v>0</v>
      </c>
      <c r="H22" s="31">
        <f t="shared" si="2"/>
        <v>0</v>
      </c>
      <c r="I22" s="32"/>
      <c r="J22" s="33">
        <f>IF(N22=0,0,ROUND(Parameters!$C$7*$C$11*IF($D$28&gt;0,N(D22)/$D$28,1/$N$28),2))</f>
        <v>0</v>
      </c>
      <c r="K22" s="34">
        <f>IF(N22=1,ROUND(Parameters!$C$8*$C$11,2),0)</f>
        <v>0</v>
      </c>
      <c r="L22" s="34">
        <f>IF(N22=0,0,ROUND(N(D22)*Parameters!$C$9*$C$11,2))</f>
        <v>0</v>
      </c>
      <c r="M22" s="35">
        <f t="shared" si="3"/>
        <v>0</v>
      </c>
      <c r="N22" s="36">
        <f t="shared" si="4"/>
        <v>0</v>
      </c>
    </row>
    <row r="23" ht="15.75" customHeight="1">
      <c r="B23" s="27"/>
      <c r="C23" s="27"/>
      <c r="D23" s="44"/>
      <c r="E23" s="29"/>
      <c r="F23" s="37">
        <f>IF(N23=0,0,ROUND(Parameters!$C$6*N(E23),2))</f>
        <v>0</v>
      </c>
      <c r="G23" s="38">
        <f t="shared" si="1"/>
        <v>0</v>
      </c>
      <c r="H23" s="38">
        <f t="shared" si="2"/>
        <v>0</v>
      </c>
      <c r="I23" s="32"/>
      <c r="J23" s="39">
        <f>IF(N23=0,0,ROUND(Parameters!$C$7*$C$11*IF($D$28&gt;0,N(D23)/$D$28,1/$N$28),2))</f>
        <v>0</v>
      </c>
      <c r="K23" s="40">
        <f>IF(N23=1,ROUND(Parameters!$C$8*$C$11,2),0)</f>
        <v>0</v>
      </c>
      <c r="L23" s="40">
        <f>IF(N23=0,0,ROUND(N(D23)*Parameters!$C$9*$C$11,2))</f>
        <v>0</v>
      </c>
      <c r="M23" s="41">
        <f t="shared" si="3"/>
        <v>0</v>
      </c>
      <c r="N23" s="36">
        <f t="shared" si="4"/>
        <v>0</v>
      </c>
    </row>
    <row r="24" ht="15.75" customHeight="1">
      <c r="B24" s="27"/>
      <c r="C24" s="27"/>
      <c r="D24" s="44"/>
      <c r="E24" s="29"/>
      <c r="F24" s="30">
        <f>IF(N24=0,0,ROUND(Parameters!$C$6*N(E24),2))</f>
        <v>0</v>
      </c>
      <c r="G24" s="31">
        <f t="shared" si="1"/>
        <v>0</v>
      </c>
      <c r="H24" s="31">
        <f t="shared" si="2"/>
        <v>0</v>
      </c>
      <c r="I24" s="32"/>
      <c r="J24" s="33">
        <f>IF(N24=0,0,ROUND(Parameters!$C$7*$C$11*IF($D$28&gt;0,N(D24)/$D$28,1/$N$28),2))</f>
        <v>0</v>
      </c>
      <c r="K24" s="34">
        <f>IF(N24=1,ROUND(Parameters!$C$8*$C$11,2),0)</f>
        <v>0</v>
      </c>
      <c r="L24" s="34">
        <f>IF(N24=0,0,ROUND(N(D24)*Parameters!$C$9*$C$11,2))</f>
        <v>0</v>
      </c>
      <c r="M24" s="35">
        <f t="shared" si="3"/>
        <v>0</v>
      </c>
      <c r="N24" s="36">
        <f t="shared" si="4"/>
        <v>0</v>
      </c>
    </row>
    <row r="25" ht="15.75" customHeight="1">
      <c r="B25" s="27"/>
      <c r="C25" s="27"/>
      <c r="D25" s="44"/>
      <c r="E25" s="29"/>
      <c r="F25" s="37">
        <f>IF(N25=0,0,ROUND(Parameters!$C$6*N(E25),2))</f>
        <v>0</v>
      </c>
      <c r="G25" s="38">
        <f t="shared" si="1"/>
        <v>0</v>
      </c>
      <c r="H25" s="38">
        <f t="shared" si="2"/>
        <v>0</v>
      </c>
      <c r="I25" s="32"/>
      <c r="J25" s="39">
        <f>IF(N25=0,0,ROUND(Parameters!$C$7*$C$11*IF($D$28&gt;0,N(D25)/$D$28,1/$N$28),2))</f>
        <v>0</v>
      </c>
      <c r="K25" s="40">
        <f>IF(N25=1,ROUND(Parameters!$C$8*$C$11,2),0)</f>
        <v>0</v>
      </c>
      <c r="L25" s="40">
        <f>IF(N25=0,0,ROUND(N(D25)*Parameters!$C$9*$C$11,2))</f>
        <v>0</v>
      </c>
      <c r="M25" s="41">
        <f t="shared" si="3"/>
        <v>0</v>
      </c>
      <c r="N25" s="36">
        <f t="shared" si="4"/>
        <v>0</v>
      </c>
    </row>
    <row r="26" ht="15.75" customHeight="1">
      <c r="B26" s="27"/>
      <c r="C26" s="27"/>
      <c r="D26" s="44"/>
      <c r="E26" s="29"/>
      <c r="F26" s="30">
        <f>IF(N26=0,0,ROUND(Parameters!$C$6*N(E26),2))</f>
        <v>0</v>
      </c>
      <c r="G26" s="31">
        <f t="shared" si="1"/>
        <v>0</v>
      </c>
      <c r="H26" s="31">
        <f t="shared" si="2"/>
        <v>0</v>
      </c>
      <c r="I26" s="32"/>
      <c r="J26" s="33">
        <f>IF(N26=0,0,ROUND(Parameters!$C$7*$C$11*IF($D$28&gt;0,N(D26)/$D$28,1/$N$28),2))</f>
        <v>0</v>
      </c>
      <c r="K26" s="34">
        <f>IF(N26=1,ROUND(Parameters!$C$8*$C$11,2),0)</f>
        <v>0</v>
      </c>
      <c r="L26" s="34">
        <f>IF(N26=0,0,ROUND(N(D26)*Parameters!$C$9*$C$11,2))</f>
        <v>0</v>
      </c>
      <c r="M26" s="35">
        <f t="shared" si="3"/>
        <v>0</v>
      </c>
      <c r="N26" s="36">
        <f t="shared" si="4"/>
        <v>0</v>
      </c>
    </row>
    <row r="27" ht="15.75" customHeight="1">
      <c r="B27" s="27"/>
      <c r="C27" s="27"/>
      <c r="D27" s="44"/>
      <c r="E27" s="29"/>
      <c r="F27" s="37">
        <f>IF(N27=0,0,ROUND(Parameters!$C$6*N(E27),2))</f>
        <v>0</v>
      </c>
      <c r="G27" s="38">
        <f t="shared" si="1"/>
        <v>0</v>
      </c>
      <c r="H27" s="38">
        <f t="shared" si="2"/>
        <v>0</v>
      </c>
      <c r="I27" s="32"/>
      <c r="J27" s="39">
        <f>IF(N27=0,0,ROUND(Parameters!$C$7*$C$11*IF($D$28&gt;0,N(D27)/$D$28,1/$N$28),2))</f>
        <v>0</v>
      </c>
      <c r="K27" s="40">
        <f>IF(N27=1,ROUND(Parameters!$C$8*$C$11,2),0)</f>
        <v>0</v>
      </c>
      <c r="L27" s="40">
        <f>IF(N27=0,0,ROUND(N(D27)*Parameters!$C$9*$C$11,2))</f>
        <v>0</v>
      </c>
      <c r="M27" s="41">
        <f t="shared" si="3"/>
        <v>0</v>
      </c>
      <c r="N27" s="36">
        <f t="shared" si="4"/>
        <v>0</v>
      </c>
    </row>
    <row r="28" ht="15.75" customHeight="1">
      <c r="B28" s="45" t="s">
        <v>28</v>
      </c>
      <c r="C28" s="45" t="str">
        <f>SUM(N16:N27)&amp;" organisatie(s)"</f>
        <v>0 organisatie(s)</v>
      </c>
      <c r="D28" s="46">
        <f t="shared" ref="D28:H28" si="5">SUM(D16:D27)</f>
        <v>0</v>
      </c>
      <c r="E28" s="47">
        <f t="shared" si="5"/>
        <v>0</v>
      </c>
      <c r="F28" s="48">
        <f t="shared" si="5"/>
        <v>0</v>
      </c>
      <c r="G28" s="49">
        <f t="shared" si="5"/>
        <v>0</v>
      </c>
      <c r="H28" s="49">
        <f t="shared" si="5"/>
        <v>0</v>
      </c>
      <c r="I28" s="50"/>
      <c r="J28" s="51">
        <f t="shared" ref="J28:N28" si="6">SUM(J16:J27)</f>
        <v>0</v>
      </c>
      <c r="K28" s="52">
        <f t="shared" si="6"/>
        <v>0</v>
      </c>
      <c r="L28" s="52">
        <f t="shared" si="6"/>
        <v>0</v>
      </c>
      <c r="M28" s="53">
        <f t="shared" si="6"/>
        <v>0</v>
      </c>
      <c r="N28" s="36">
        <f t="shared" si="6"/>
        <v>0</v>
      </c>
    </row>
    <row r="29" ht="15.75" customHeight="1">
      <c r="B29" s="54" t="str">
        <f>IF(N28=0,"",TRIM(IF(ISNUMBER(C9),"","⚠ Vul een startdatum in: zonder startdatum wordt de licentie van het opstartjaar niet berekend. ")&amp;IF(ROUND(E28,4)&lt;&gt;1,"⚠ Het aandeel in de opstartkost (kolom E) telt op tot "&amp;ROUND(E28*100,1)&amp;"% in plaats van 100%: vul de percentages aan.","")))</f>
        <v/>
      </c>
    </row>
    <row r="30" ht="15.75" customHeight="1">
      <c r="B30" s="55" t="s">
        <v>29</v>
      </c>
    </row>
    <row r="31" ht="15.75" customHeight="1"/>
    <row r="32" ht="15.75" customHeight="1">
      <c r="B32" s="56" t="s">
        <v>30</v>
      </c>
    </row>
    <row r="33" ht="15.75" customHeight="1">
      <c r="B33" s="3" t="s">
        <v>31</v>
      </c>
      <c r="G33" s="57">
        <f>F28</f>
        <v>0</v>
      </c>
    </row>
    <row r="34" ht="15.75" customHeight="1">
      <c r="B34" s="3" t="str">
        <f>"Schoolplanner – licentie opstartjaar (pro rata "&amp;IF($C$10="","? (geen startdatum)",$C$10&amp;" maand(en)")&amp;", zonder variabel deel)"</f>
        <v>Schoolplanner – licentie opstartjaar (pro rata 5 maand(en), zonder variabel deel)</v>
      </c>
      <c r="G34" s="57">
        <f>G28</f>
        <v>0</v>
      </c>
    </row>
    <row r="35" ht="15.75" customHeight="1">
      <c r="B35" s="58" t="s">
        <v>32</v>
      </c>
      <c r="C35" s="59"/>
      <c r="D35" s="59"/>
      <c r="E35" s="59"/>
      <c r="F35" s="60"/>
      <c r="G35" s="61">
        <f>H28</f>
        <v>0</v>
      </c>
    </row>
    <row r="36" ht="15.75" customHeight="1">
      <c r="B36" s="3" t="s">
        <v>33</v>
      </c>
      <c r="G36" s="57">
        <f>M28</f>
        <v>0</v>
      </c>
      <c r="H36" s="6" t="s">
        <v>34</v>
      </c>
    </row>
    <row r="37" ht="15.75" customHeight="1"/>
    <row r="38" ht="15.75" customHeight="1"/>
    <row r="39" ht="15.75" customHeight="1">
      <c r="B39" s="62" t="s">
        <v>35</v>
      </c>
    </row>
    <row r="40" ht="15.75" customHeight="1">
      <c r="B40" s="63" t="str">
        <f>"Deze berekening is geldig tot en met "&amp;Parameters!$C$11&amp;"."</f>
        <v>Deze berekening is geldig tot en met 31 december 2026.</v>
      </c>
    </row>
    <row r="41" ht="15.75" customHeight="1">
      <c r="B41" s="63" t="s">
        <v>36</v>
      </c>
    </row>
    <row r="42" ht="15.75" customHeight="1">
      <c r="B42" s="63" t="str">
        <f>"Jaarlijkse kosten worden geïndexeerd vanaf "&amp;DAY(Parameters!$C$14)&amp;"/"&amp;MONTH(Parameters!$C$14)&amp;"/"&amp;YEAR(Parameters!$C$14)&amp;" (toegepaste indexfactor: "&amp;ROUND($C$11,4)&amp;")."</f>
        <v>Jaarlijkse kosten worden geïndexeerd vanaf 1/1/2027 (toegepaste indexfactor: 1).</v>
      </c>
    </row>
    <row r="43" ht="15.75" customHeight="1">
      <c r="B43" s="63" t="s">
        <v>37</v>
      </c>
    </row>
    <row r="44" ht="15.75" customHeight="1">
      <c r="B44" s="63" t="s">
        <v>38</v>
      </c>
    </row>
    <row r="45" ht="15.75" customHeight="1">
      <c r="B45" s="63" t="s">
        <v>39</v>
      </c>
    </row>
    <row r="46" ht="15.75" customHeight="1">
      <c r="B46" s="63" t="s">
        <v>40</v>
      </c>
    </row>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B35:F35"/>
    <mergeCell ref="B36:F36"/>
    <mergeCell ref="C2:N3"/>
    <mergeCell ref="C4:N4"/>
    <mergeCell ref="B14:D14"/>
    <mergeCell ref="E14:F14"/>
    <mergeCell ref="J14:M14"/>
    <mergeCell ref="B33:F33"/>
    <mergeCell ref="B34:F34"/>
  </mergeCells>
  <conditionalFormatting sqref="C9">
    <cfRule type="expression" dxfId="0" priority="1">
      <formula>AND($N$28&gt;0,NOT(ISNUMBER($C$9)))</formula>
    </cfRule>
  </conditionalFormatting>
  <conditionalFormatting sqref="E16:E27">
    <cfRule type="expression" dxfId="0" priority="2">
      <formula>AND($N16=1,$E16="")</formula>
    </cfRule>
  </conditionalFormatting>
  <dataValidations>
    <dataValidation type="decimal" operator="greaterThanOrEqual" allowBlank="1" showInputMessage="1" showErrorMessage="1" prompt="Geef een positief aantal deelnemers in." sqref="D16:D27">
      <formula1>0.0</formula1>
    </dataValidation>
    <dataValidation type="decimal" allowBlank="1" showInputMessage="1" showErrorMessage="1" prompt="Aandeel opstartkost - Geef een percentage tussen 0% en 100% in." sqref="E16:E27">
      <formula1>0.0</formula1>
      <formula2>1.0</formula2>
    </dataValidation>
    <dataValidation type="date" operator="greaterThanOrEqual" allowBlank="1" showInputMessage="1" showErrorMessage="1" prompt="Geef een geldige datum in (dd/mm/jjjj)." sqref="C9">
      <formula1>44927.0</formula1>
    </dataValidation>
    <dataValidation type="list" allowBlank="1" sqref="C16:C27">
      <formula1>Parameters!$G$6:$G$9</formula1>
    </dataValidation>
  </dataValidations>
  <hyperlinks>
    <hyperlink r:id="rId4" ref="C4"/>
  </hyperlinks>
  <printOptions/>
  <pageMargins bottom="1.0" footer="0.0" header="0.0" left="0.75" right="0.75" top="1.0"/>
  <pageSetup fitToHeight="0" orientation="landscape"/>
  <drawing r:id="rId5"/>
  <legacyDrawing r:id="rId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2.0"/>
    <col customWidth="1" min="2" max="2" width="32.0"/>
    <col customWidth="1" min="3" max="3" width="44.0"/>
    <col customWidth="1" min="4" max="4" width="22.0"/>
    <col customWidth="1" min="5" max="5" width="17.0"/>
    <col customWidth="1" min="6" max="6" width="13.0"/>
    <col customWidth="1" min="7" max="8" width="15.0"/>
    <col customWidth="1" min="9" max="11" width="13.0"/>
    <col customWidth="1" min="12" max="12" width="14.0"/>
    <col customWidth="1" hidden="1" min="13" max="13" width="6.0"/>
  </cols>
  <sheetData>
    <row r="2">
      <c r="C2" s="64" t="s">
        <v>0</v>
      </c>
    </row>
    <row r="4">
      <c r="C4" s="65" t="s">
        <v>41</v>
      </c>
    </row>
    <row r="7">
      <c r="B7" s="3" t="s">
        <v>2</v>
      </c>
      <c r="C7" s="66" t="str">
        <f>IF('Berekening incl. btw'!C7="","",'Berekening incl. btw'!C7)</f>
        <v/>
      </c>
    </row>
    <row r="8">
      <c r="B8" s="3" t="s">
        <v>3</v>
      </c>
      <c r="C8" s="67" t="str">
        <f>'Berekening incl. btw'!C8</f>
        <v>Op maat</v>
      </c>
    </row>
    <row r="9">
      <c r="B9" s="3" t="s">
        <v>6</v>
      </c>
      <c r="C9" s="68">
        <f>IF('Berekening incl. btw'!C9="","",'Berekening incl. btw'!C9)</f>
        <v>46478</v>
      </c>
    </row>
    <row r="10">
      <c r="B10" s="3" t="s">
        <v>8</v>
      </c>
      <c r="C10" s="69">
        <f>'Berekening incl. btw'!C10</f>
        <v>5</v>
      </c>
    </row>
    <row r="11">
      <c r="B11" s="3" t="s">
        <v>10</v>
      </c>
      <c r="C11" s="70">
        <f>'Berekening incl. btw'!C11</f>
        <v>1</v>
      </c>
    </row>
    <row r="13">
      <c r="B13" s="71" t="s">
        <v>42</v>
      </c>
    </row>
    <row r="14">
      <c r="B14" s="12" t="s">
        <v>12</v>
      </c>
      <c r="C14" s="13"/>
      <c r="D14" s="13"/>
      <c r="E14" s="72" t="s">
        <v>13</v>
      </c>
      <c r="F14" s="73"/>
      <c r="G14" s="72" t="s">
        <v>14</v>
      </c>
      <c r="H14" s="73"/>
      <c r="I14" s="72" t="s">
        <v>16</v>
      </c>
      <c r="J14" s="74"/>
      <c r="K14" s="74"/>
      <c r="L14" s="73"/>
    </row>
    <row r="15" ht="31.5" customHeight="1">
      <c r="B15" s="20" t="s">
        <v>17</v>
      </c>
      <c r="C15" s="20" t="s">
        <v>18</v>
      </c>
      <c r="D15" s="20" t="str">
        <f>'Berekening incl. btw'!D15</f>
        <v>Inschatting deelnemers
scholenaanbod*</v>
      </c>
      <c r="E15" s="20" t="str">
        <f>'Berekening incl. btw'!E15</f>
        <v>Aandeel
opstartkost (%)</v>
      </c>
      <c r="F15" s="75" t="str">
        <f>'Berekening incl. btw'!F15</f>
        <v>Opstartkost</v>
      </c>
      <c r="G15" s="76" t="str">
        <f>'Berekening incl. btw'!G15</f>
        <v>Licentie
pro rata**</v>
      </c>
      <c r="H15" s="75" t="str">
        <f>'Berekening incl. btw'!H15</f>
        <v>Totaal
opstartjaar</v>
      </c>
      <c r="I15" s="76" t="str">
        <f>'Berekening incl. btw'!J15</f>
        <v>Aandeel
platform</v>
      </c>
      <c r="J15" s="20" t="str">
        <f>'Berekening incl. btw'!K15</f>
        <v>Kost per
organisatie</v>
      </c>
      <c r="K15" s="20" t="str">
        <f>'Berekening incl. btw'!L15</f>
        <v>Variabel
(deelnemers)</v>
      </c>
      <c r="L15" s="75" t="str">
        <f>'Berekening incl. btw'!M15</f>
        <v>Licentie
volledig jaar</v>
      </c>
      <c r="M15" s="20" t="str">
        <f>'Berekening incl. btw'!N15</f>
        <v>Actief</v>
      </c>
    </row>
    <row r="16">
      <c r="B16" s="77" t="str">
        <f>IF('Berekening incl. btw'!B16="","",'Berekening incl. btw'!B16)</f>
        <v/>
      </c>
      <c r="C16" s="77" t="str">
        <f>IF('Berekening incl. btw'!C16="","",'Berekening incl. btw'!C16)</f>
        <v/>
      </c>
      <c r="D16" s="78" t="str">
        <f>IF('Berekening incl. btw'!D16="","",'Berekening incl. btw'!D16)</f>
        <v/>
      </c>
      <c r="E16" s="79" t="str">
        <f>IF('Berekening incl. btw'!E16="","",'Berekening incl. btw'!E16)</f>
        <v/>
      </c>
      <c r="F16" s="80">
        <f>ROUND('Berekening incl. btw'!F16/(1+Parameters!$C$10),2)</f>
        <v>0</v>
      </c>
      <c r="G16" s="81">
        <f>ROUND('Berekening incl. btw'!G16/(1+Parameters!$C$10),2)</f>
        <v>0</v>
      </c>
      <c r="H16" s="82">
        <f t="shared" ref="H16:H27" si="1">F16+G16</f>
        <v>0</v>
      </c>
      <c r="I16" s="81">
        <f>ROUND('Berekening incl. btw'!J16/(1+Parameters!$C$10),2)</f>
        <v>0</v>
      </c>
      <c r="J16" s="34">
        <f>ROUND('Berekening incl. btw'!K16/(1+Parameters!$C$10),2)</f>
        <v>0</v>
      </c>
      <c r="K16" s="34">
        <f>ROUND('Berekening incl. btw'!L16/(1+Parameters!$C$10),2)</f>
        <v>0</v>
      </c>
      <c r="L16" s="82">
        <f t="shared" ref="L16:L27" si="2">I16+J16+K16</f>
        <v>0</v>
      </c>
      <c r="M16" s="36">
        <f>'Berekening incl. btw'!N16</f>
        <v>0</v>
      </c>
    </row>
    <row r="17">
      <c r="B17" s="83" t="str">
        <f>IF('Berekening incl. btw'!B17="","",'Berekening incl. btw'!B17)</f>
        <v/>
      </c>
      <c r="C17" s="83" t="str">
        <f>IF('Berekening incl. btw'!C17="","",'Berekening incl. btw'!C17)</f>
        <v/>
      </c>
      <c r="D17" s="84" t="str">
        <f>IF('Berekening incl. btw'!D17="","",'Berekening incl. btw'!D17)</f>
        <v/>
      </c>
      <c r="E17" s="85" t="str">
        <f>IF('Berekening incl. btw'!E17="","",'Berekening incl. btw'!E17)</f>
        <v/>
      </c>
      <c r="F17" s="86">
        <f>ROUND('Berekening incl. btw'!F17/(1+Parameters!$C$10),2)</f>
        <v>0</v>
      </c>
      <c r="G17" s="87">
        <f>ROUND('Berekening incl. btw'!G17/(1+Parameters!$C$10),2)</f>
        <v>0</v>
      </c>
      <c r="H17" s="88">
        <f t="shared" si="1"/>
        <v>0</v>
      </c>
      <c r="I17" s="87">
        <f>ROUND('Berekening incl. btw'!J17/(1+Parameters!$C$10),2)</f>
        <v>0</v>
      </c>
      <c r="J17" s="40">
        <f>ROUND('Berekening incl. btw'!K17/(1+Parameters!$C$10),2)</f>
        <v>0</v>
      </c>
      <c r="K17" s="40">
        <f>ROUND('Berekening incl. btw'!L17/(1+Parameters!$C$10),2)</f>
        <v>0</v>
      </c>
      <c r="L17" s="88">
        <f t="shared" si="2"/>
        <v>0</v>
      </c>
      <c r="M17" s="36">
        <f>'Berekening incl. btw'!N17</f>
        <v>0</v>
      </c>
    </row>
    <row r="18">
      <c r="B18" s="77" t="str">
        <f>IF('Berekening incl. btw'!B18="","",'Berekening incl. btw'!B18)</f>
        <v/>
      </c>
      <c r="C18" s="77" t="str">
        <f>IF('Berekening incl. btw'!C18="","",'Berekening incl. btw'!C18)</f>
        <v/>
      </c>
      <c r="D18" s="78" t="str">
        <f>IF('Berekening incl. btw'!D18="","",'Berekening incl. btw'!D18)</f>
        <v/>
      </c>
      <c r="E18" s="79" t="str">
        <f>IF('Berekening incl. btw'!E18="","",'Berekening incl. btw'!E18)</f>
        <v/>
      </c>
      <c r="F18" s="80">
        <f>ROUND('Berekening incl. btw'!F18/(1+Parameters!$C$10),2)</f>
        <v>0</v>
      </c>
      <c r="G18" s="81">
        <f>ROUND('Berekening incl. btw'!G18/(1+Parameters!$C$10),2)</f>
        <v>0</v>
      </c>
      <c r="H18" s="82">
        <f t="shared" si="1"/>
        <v>0</v>
      </c>
      <c r="I18" s="81">
        <f>ROUND('Berekening incl. btw'!J18/(1+Parameters!$C$10),2)</f>
        <v>0</v>
      </c>
      <c r="J18" s="34">
        <f>ROUND('Berekening incl. btw'!K18/(1+Parameters!$C$10),2)</f>
        <v>0</v>
      </c>
      <c r="K18" s="34">
        <f>ROUND('Berekening incl. btw'!L18/(1+Parameters!$C$10),2)</f>
        <v>0</v>
      </c>
      <c r="L18" s="82">
        <f t="shared" si="2"/>
        <v>0</v>
      </c>
      <c r="M18" s="36">
        <f>'Berekening incl. btw'!N18</f>
        <v>0</v>
      </c>
    </row>
    <row r="19">
      <c r="B19" s="83" t="str">
        <f>IF('Berekening incl. btw'!B19="","",'Berekening incl. btw'!B19)</f>
        <v/>
      </c>
      <c r="C19" s="83" t="str">
        <f>IF('Berekening incl. btw'!C19="","",'Berekening incl. btw'!C19)</f>
        <v/>
      </c>
      <c r="D19" s="84" t="str">
        <f>IF('Berekening incl. btw'!D19="","",'Berekening incl. btw'!D19)</f>
        <v/>
      </c>
      <c r="E19" s="85" t="str">
        <f>IF('Berekening incl. btw'!E19="","",'Berekening incl. btw'!E19)</f>
        <v/>
      </c>
      <c r="F19" s="86">
        <f>ROUND('Berekening incl. btw'!F19/(1+Parameters!$C$10),2)</f>
        <v>0</v>
      </c>
      <c r="G19" s="87">
        <f>ROUND('Berekening incl. btw'!G19/(1+Parameters!$C$10),2)</f>
        <v>0</v>
      </c>
      <c r="H19" s="88">
        <f t="shared" si="1"/>
        <v>0</v>
      </c>
      <c r="I19" s="87">
        <f>ROUND('Berekening incl. btw'!J19/(1+Parameters!$C$10),2)</f>
        <v>0</v>
      </c>
      <c r="J19" s="40">
        <f>ROUND('Berekening incl. btw'!K19/(1+Parameters!$C$10),2)</f>
        <v>0</v>
      </c>
      <c r="K19" s="40">
        <f>ROUND('Berekening incl. btw'!L19/(1+Parameters!$C$10),2)</f>
        <v>0</v>
      </c>
      <c r="L19" s="88">
        <f t="shared" si="2"/>
        <v>0</v>
      </c>
      <c r="M19" s="36">
        <f>'Berekening incl. btw'!N19</f>
        <v>0</v>
      </c>
    </row>
    <row r="20">
      <c r="B20" s="77" t="str">
        <f>IF('Berekening incl. btw'!B20="","",'Berekening incl. btw'!B20)</f>
        <v/>
      </c>
      <c r="C20" s="77" t="str">
        <f>IF('Berekening incl. btw'!C20="","",'Berekening incl. btw'!C20)</f>
        <v/>
      </c>
      <c r="D20" s="78" t="str">
        <f>IF('Berekening incl. btw'!D20="","",'Berekening incl. btw'!D20)</f>
        <v/>
      </c>
      <c r="E20" s="79" t="str">
        <f>IF('Berekening incl. btw'!E20="","",'Berekening incl. btw'!E20)</f>
        <v/>
      </c>
      <c r="F20" s="80">
        <f>ROUND('Berekening incl. btw'!F20/(1+Parameters!$C$10),2)</f>
        <v>0</v>
      </c>
      <c r="G20" s="81">
        <f>ROUND('Berekening incl. btw'!G20/(1+Parameters!$C$10),2)</f>
        <v>0</v>
      </c>
      <c r="H20" s="82">
        <f t="shared" si="1"/>
        <v>0</v>
      </c>
      <c r="I20" s="81">
        <f>ROUND('Berekening incl. btw'!J20/(1+Parameters!$C$10),2)</f>
        <v>0</v>
      </c>
      <c r="J20" s="34">
        <f>ROUND('Berekening incl. btw'!K20/(1+Parameters!$C$10),2)</f>
        <v>0</v>
      </c>
      <c r="K20" s="34">
        <f>ROUND('Berekening incl. btw'!L20/(1+Parameters!$C$10),2)</f>
        <v>0</v>
      </c>
      <c r="L20" s="82">
        <f t="shared" si="2"/>
        <v>0</v>
      </c>
      <c r="M20" s="36">
        <f>'Berekening incl. btw'!N20</f>
        <v>0</v>
      </c>
    </row>
    <row r="21" ht="15.75" customHeight="1">
      <c r="B21" s="83" t="str">
        <f>IF('Berekening incl. btw'!B21="","",'Berekening incl. btw'!B21)</f>
        <v/>
      </c>
      <c r="C21" s="83" t="str">
        <f>IF('Berekening incl. btw'!C21="","",'Berekening incl. btw'!C21)</f>
        <v/>
      </c>
      <c r="D21" s="84" t="str">
        <f>IF('Berekening incl. btw'!D21="","",'Berekening incl. btw'!D21)</f>
        <v/>
      </c>
      <c r="E21" s="85" t="str">
        <f>IF('Berekening incl. btw'!E21="","",'Berekening incl. btw'!E21)</f>
        <v/>
      </c>
      <c r="F21" s="86">
        <f>ROUND('Berekening incl. btw'!F21/(1+Parameters!$C$10),2)</f>
        <v>0</v>
      </c>
      <c r="G21" s="87">
        <f>ROUND('Berekening incl. btw'!G21/(1+Parameters!$C$10),2)</f>
        <v>0</v>
      </c>
      <c r="H21" s="88">
        <f t="shared" si="1"/>
        <v>0</v>
      </c>
      <c r="I21" s="87">
        <f>ROUND('Berekening incl. btw'!J21/(1+Parameters!$C$10),2)</f>
        <v>0</v>
      </c>
      <c r="J21" s="40">
        <f>ROUND('Berekening incl. btw'!K21/(1+Parameters!$C$10),2)</f>
        <v>0</v>
      </c>
      <c r="K21" s="40">
        <f>ROUND('Berekening incl. btw'!L21/(1+Parameters!$C$10),2)</f>
        <v>0</v>
      </c>
      <c r="L21" s="88">
        <f t="shared" si="2"/>
        <v>0</v>
      </c>
      <c r="M21" s="36">
        <f>'Berekening incl. btw'!N21</f>
        <v>0</v>
      </c>
    </row>
    <row r="22" ht="15.75" customHeight="1">
      <c r="B22" s="77" t="str">
        <f>IF('Berekening incl. btw'!B22="","",'Berekening incl. btw'!B22)</f>
        <v/>
      </c>
      <c r="C22" s="77" t="str">
        <f>IF('Berekening incl. btw'!C22="","",'Berekening incl. btw'!C22)</f>
        <v/>
      </c>
      <c r="D22" s="78" t="str">
        <f>IF('Berekening incl. btw'!D22="","",'Berekening incl. btw'!D22)</f>
        <v/>
      </c>
      <c r="E22" s="79" t="str">
        <f>IF('Berekening incl. btw'!E22="","",'Berekening incl. btw'!E22)</f>
        <v/>
      </c>
      <c r="F22" s="80">
        <f>ROUND('Berekening incl. btw'!F22/(1+Parameters!$C$10),2)</f>
        <v>0</v>
      </c>
      <c r="G22" s="81">
        <f>ROUND('Berekening incl. btw'!G22/(1+Parameters!$C$10),2)</f>
        <v>0</v>
      </c>
      <c r="H22" s="82">
        <f t="shared" si="1"/>
        <v>0</v>
      </c>
      <c r="I22" s="81">
        <f>ROUND('Berekening incl. btw'!J22/(1+Parameters!$C$10),2)</f>
        <v>0</v>
      </c>
      <c r="J22" s="34">
        <f>ROUND('Berekening incl. btw'!K22/(1+Parameters!$C$10),2)</f>
        <v>0</v>
      </c>
      <c r="K22" s="34">
        <f>ROUND('Berekening incl. btw'!L22/(1+Parameters!$C$10),2)</f>
        <v>0</v>
      </c>
      <c r="L22" s="82">
        <f t="shared" si="2"/>
        <v>0</v>
      </c>
      <c r="M22" s="36">
        <f>'Berekening incl. btw'!N22</f>
        <v>0</v>
      </c>
    </row>
    <row r="23" ht="15.75" customHeight="1">
      <c r="B23" s="83" t="str">
        <f>IF('Berekening incl. btw'!B23="","",'Berekening incl. btw'!B23)</f>
        <v/>
      </c>
      <c r="C23" s="83" t="str">
        <f>IF('Berekening incl. btw'!C23="","",'Berekening incl. btw'!C23)</f>
        <v/>
      </c>
      <c r="D23" s="84" t="str">
        <f>IF('Berekening incl. btw'!D23="","",'Berekening incl. btw'!D23)</f>
        <v/>
      </c>
      <c r="E23" s="85" t="str">
        <f>IF('Berekening incl. btw'!E23="","",'Berekening incl. btw'!E23)</f>
        <v/>
      </c>
      <c r="F23" s="86">
        <f>ROUND('Berekening incl. btw'!F23/(1+Parameters!$C$10),2)</f>
        <v>0</v>
      </c>
      <c r="G23" s="87">
        <f>ROUND('Berekening incl. btw'!G23/(1+Parameters!$C$10),2)</f>
        <v>0</v>
      </c>
      <c r="H23" s="88">
        <f t="shared" si="1"/>
        <v>0</v>
      </c>
      <c r="I23" s="87">
        <f>ROUND('Berekening incl. btw'!J23/(1+Parameters!$C$10),2)</f>
        <v>0</v>
      </c>
      <c r="J23" s="40">
        <f>ROUND('Berekening incl. btw'!K23/(1+Parameters!$C$10),2)</f>
        <v>0</v>
      </c>
      <c r="K23" s="40">
        <f>ROUND('Berekening incl. btw'!L23/(1+Parameters!$C$10),2)</f>
        <v>0</v>
      </c>
      <c r="L23" s="88">
        <f t="shared" si="2"/>
        <v>0</v>
      </c>
      <c r="M23" s="36">
        <f>'Berekening incl. btw'!N23</f>
        <v>0</v>
      </c>
    </row>
    <row r="24" ht="15.75" customHeight="1">
      <c r="B24" s="77" t="str">
        <f>IF('Berekening incl. btw'!B24="","",'Berekening incl. btw'!B24)</f>
        <v/>
      </c>
      <c r="C24" s="77" t="str">
        <f>IF('Berekening incl. btw'!C24="","",'Berekening incl. btw'!C24)</f>
        <v/>
      </c>
      <c r="D24" s="78" t="str">
        <f>IF('Berekening incl. btw'!D24="","",'Berekening incl. btw'!D24)</f>
        <v/>
      </c>
      <c r="E24" s="79" t="str">
        <f>IF('Berekening incl. btw'!E24="","",'Berekening incl. btw'!E24)</f>
        <v/>
      </c>
      <c r="F24" s="80">
        <f>ROUND('Berekening incl. btw'!F24/(1+Parameters!$C$10),2)</f>
        <v>0</v>
      </c>
      <c r="G24" s="81">
        <f>ROUND('Berekening incl. btw'!G24/(1+Parameters!$C$10),2)</f>
        <v>0</v>
      </c>
      <c r="H24" s="82">
        <f t="shared" si="1"/>
        <v>0</v>
      </c>
      <c r="I24" s="81">
        <f>ROUND('Berekening incl. btw'!J24/(1+Parameters!$C$10),2)</f>
        <v>0</v>
      </c>
      <c r="J24" s="34">
        <f>ROUND('Berekening incl. btw'!K24/(1+Parameters!$C$10),2)</f>
        <v>0</v>
      </c>
      <c r="K24" s="34">
        <f>ROUND('Berekening incl. btw'!L24/(1+Parameters!$C$10),2)</f>
        <v>0</v>
      </c>
      <c r="L24" s="82">
        <f t="shared" si="2"/>
        <v>0</v>
      </c>
      <c r="M24" s="36">
        <f>'Berekening incl. btw'!N24</f>
        <v>0</v>
      </c>
    </row>
    <row r="25" ht="15.75" customHeight="1">
      <c r="B25" s="83" t="str">
        <f>IF('Berekening incl. btw'!B25="","",'Berekening incl. btw'!B25)</f>
        <v/>
      </c>
      <c r="C25" s="83" t="str">
        <f>IF('Berekening incl. btw'!C25="","",'Berekening incl. btw'!C25)</f>
        <v/>
      </c>
      <c r="D25" s="84" t="str">
        <f>IF('Berekening incl. btw'!D25="","",'Berekening incl. btw'!D25)</f>
        <v/>
      </c>
      <c r="E25" s="85" t="str">
        <f>IF('Berekening incl. btw'!E25="","",'Berekening incl. btw'!E25)</f>
        <v/>
      </c>
      <c r="F25" s="86">
        <f>ROUND('Berekening incl. btw'!F25/(1+Parameters!$C$10),2)</f>
        <v>0</v>
      </c>
      <c r="G25" s="87">
        <f>ROUND('Berekening incl. btw'!G25/(1+Parameters!$C$10),2)</f>
        <v>0</v>
      </c>
      <c r="H25" s="88">
        <f t="shared" si="1"/>
        <v>0</v>
      </c>
      <c r="I25" s="87">
        <f>ROUND('Berekening incl. btw'!J25/(1+Parameters!$C$10),2)</f>
        <v>0</v>
      </c>
      <c r="J25" s="40">
        <f>ROUND('Berekening incl. btw'!K25/(1+Parameters!$C$10),2)</f>
        <v>0</v>
      </c>
      <c r="K25" s="40">
        <f>ROUND('Berekening incl. btw'!L25/(1+Parameters!$C$10),2)</f>
        <v>0</v>
      </c>
      <c r="L25" s="88">
        <f t="shared" si="2"/>
        <v>0</v>
      </c>
      <c r="M25" s="36">
        <f>'Berekening incl. btw'!N25</f>
        <v>0</v>
      </c>
    </row>
    <row r="26" ht="15.75" customHeight="1">
      <c r="B26" s="77" t="str">
        <f>IF('Berekening incl. btw'!B26="","",'Berekening incl. btw'!B26)</f>
        <v/>
      </c>
      <c r="C26" s="77" t="str">
        <f>IF('Berekening incl. btw'!C26="","",'Berekening incl. btw'!C26)</f>
        <v/>
      </c>
      <c r="D26" s="78" t="str">
        <f>IF('Berekening incl. btw'!D26="","",'Berekening incl. btw'!D26)</f>
        <v/>
      </c>
      <c r="E26" s="79" t="str">
        <f>IF('Berekening incl. btw'!E26="","",'Berekening incl. btw'!E26)</f>
        <v/>
      </c>
      <c r="F26" s="80">
        <f>ROUND('Berekening incl. btw'!F26/(1+Parameters!$C$10),2)</f>
        <v>0</v>
      </c>
      <c r="G26" s="81">
        <f>ROUND('Berekening incl. btw'!G26/(1+Parameters!$C$10),2)</f>
        <v>0</v>
      </c>
      <c r="H26" s="82">
        <f t="shared" si="1"/>
        <v>0</v>
      </c>
      <c r="I26" s="81">
        <f>ROUND('Berekening incl. btw'!J26/(1+Parameters!$C$10),2)</f>
        <v>0</v>
      </c>
      <c r="J26" s="34">
        <f>ROUND('Berekening incl. btw'!K26/(1+Parameters!$C$10),2)</f>
        <v>0</v>
      </c>
      <c r="K26" s="34">
        <f>ROUND('Berekening incl. btw'!L26/(1+Parameters!$C$10),2)</f>
        <v>0</v>
      </c>
      <c r="L26" s="82">
        <f t="shared" si="2"/>
        <v>0</v>
      </c>
      <c r="M26" s="36">
        <f>'Berekening incl. btw'!N26</f>
        <v>0</v>
      </c>
    </row>
    <row r="27" ht="15.75" customHeight="1">
      <c r="B27" s="83" t="str">
        <f>IF('Berekening incl. btw'!B27="","",'Berekening incl. btw'!B27)</f>
        <v/>
      </c>
      <c r="C27" s="83" t="str">
        <f>IF('Berekening incl. btw'!C27="","",'Berekening incl. btw'!C27)</f>
        <v/>
      </c>
      <c r="D27" s="84" t="str">
        <f>IF('Berekening incl. btw'!D27="","",'Berekening incl. btw'!D27)</f>
        <v/>
      </c>
      <c r="E27" s="85" t="str">
        <f>IF('Berekening incl. btw'!E27="","",'Berekening incl. btw'!E27)</f>
        <v/>
      </c>
      <c r="F27" s="86">
        <f>ROUND('Berekening incl. btw'!F27/(1+Parameters!$C$10),2)</f>
        <v>0</v>
      </c>
      <c r="G27" s="87">
        <f>ROUND('Berekening incl. btw'!G27/(1+Parameters!$C$10),2)</f>
        <v>0</v>
      </c>
      <c r="H27" s="88">
        <f t="shared" si="1"/>
        <v>0</v>
      </c>
      <c r="I27" s="87">
        <f>ROUND('Berekening incl. btw'!J27/(1+Parameters!$C$10),2)</f>
        <v>0</v>
      </c>
      <c r="J27" s="40">
        <f>ROUND('Berekening incl. btw'!K27/(1+Parameters!$C$10),2)</f>
        <v>0</v>
      </c>
      <c r="K27" s="40">
        <f>ROUND('Berekening incl. btw'!L27/(1+Parameters!$C$10),2)</f>
        <v>0</v>
      </c>
      <c r="L27" s="88">
        <f t="shared" si="2"/>
        <v>0</v>
      </c>
      <c r="M27" s="36">
        <f>'Berekening incl. btw'!N27</f>
        <v>0</v>
      </c>
    </row>
    <row r="28" ht="15.75" customHeight="1">
      <c r="B28" s="45" t="s">
        <v>28</v>
      </c>
      <c r="C28" s="45" t="str">
        <f>SUM(M16:M27)&amp;" organisatie(s)"</f>
        <v>0 organisatie(s)</v>
      </c>
      <c r="D28" s="89">
        <f t="shared" ref="D28:M28" si="3">SUM(D16:D27)</f>
        <v>0</v>
      </c>
      <c r="E28" s="90">
        <f t="shared" si="3"/>
        <v>0</v>
      </c>
      <c r="F28" s="91">
        <f t="shared" si="3"/>
        <v>0</v>
      </c>
      <c r="G28" s="92">
        <f t="shared" si="3"/>
        <v>0</v>
      </c>
      <c r="H28" s="91">
        <f t="shared" si="3"/>
        <v>0</v>
      </c>
      <c r="I28" s="92">
        <f t="shared" si="3"/>
        <v>0</v>
      </c>
      <c r="J28" s="93">
        <f t="shared" si="3"/>
        <v>0</v>
      </c>
      <c r="K28" s="93">
        <f t="shared" si="3"/>
        <v>0</v>
      </c>
      <c r="L28" s="91">
        <f t="shared" si="3"/>
        <v>0</v>
      </c>
      <c r="M28" s="36">
        <f t="shared" si="3"/>
        <v>0</v>
      </c>
    </row>
    <row r="29" ht="15.75" customHeight="1">
      <c r="B29" s="54" t="str">
        <f>IF(M28=0,"",TRIM(IF(ISNUMBER(C9),"","⚠ Vul een startdatum in: zonder startdatum wordt de licentie van het opstartjaar niet berekend. ")&amp;IF(ROUND(E28,4)&lt;&gt;1,"⚠ Het aandeel in de opstartkost (kolom E) telt op tot "&amp;ROUND(E28*100,1)&amp;"% in plaats van 100%: vul de percentages aan.","")))</f>
        <v/>
      </c>
    </row>
    <row r="30" ht="15.75" customHeight="1">
      <c r="B30" s="55" t="s">
        <v>29</v>
      </c>
    </row>
    <row r="31" ht="15.75" customHeight="1"/>
    <row r="32" ht="15.75" customHeight="1">
      <c r="B32" s="56" t="s">
        <v>30</v>
      </c>
    </row>
    <row r="33" ht="15.75" customHeight="1">
      <c r="B33" s="3" t="s">
        <v>31</v>
      </c>
      <c r="G33" s="57">
        <f>F28</f>
        <v>0</v>
      </c>
    </row>
    <row r="34" ht="15.75" customHeight="1">
      <c r="B34" s="3" t="str">
        <f>"Schoolplanner – licentie opstartjaar (pro rata "&amp;IF($C$10="","? (geen startdatum)",$C$10&amp;" maand(en)")&amp;", zonder variabel deel)"</f>
        <v>Schoolplanner – licentie opstartjaar (pro rata 5 maand(en), zonder variabel deel)</v>
      </c>
      <c r="G34" s="57">
        <f>G28</f>
        <v>0</v>
      </c>
    </row>
    <row r="35" ht="15.75" customHeight="1">
      <c r="B35" s="58" t="s">
        <v>32</v>
      </c>
      <c r="C35" s="59"/>
      <c r="D35" s="59"/>
      <c r="E35" s="59"/>
      <c r="F35" s="60"/>
      <c r="G35" s="61">
        <f>H28</f>
        <v>0</v>
      </c>
    </row>
    <row r="36" ht="15.75" customHeight="1">
      <c r="B36" s="3" t="s">
        <v>33</v>
      </c>
      <c r="G36" s="57">
        <f>L28</f>
        <v>0</v>
      </c>
      <c r="H36" s="6" t="s">
        <v>34</v>
      </c>
    </row>
    <row r="37" ht="15.75" customHeight="1"/>
    <row r="38" ht="15.75" customHeight="1"/>
    <row r="39" ht="15.75" customHeight="1">
      <c r="B39" s="62" t="s">
        <v>35</v>
      </c>
    </row>
    <row r="40" ht="15.75" customHeight="1">
      <c r="B40" s="63" t="str">
        <f>"Deze berekening is geldig tot en met "&amp;Parameters!$C$11&amp;"."</f>
        <v>Deze berekening is geldig tot en met 31 december 2026.</v>
      </c>
    </row>
    <row r="41" ht="15.75" customHeight="1">
      <c r="B41" s="63" t="s">
        <v>43</v>
      </c>
    </row>
    <row r="42" ht="15.75" customHeight="1">
      <c r="B42" s="63" t="str">
        <f>"Jaarlijkse kosten worden geïndexeerd vanaf "&amp;DAY(Parameters!$C$14)&amp;"/"&amp;MONTH(Parameters!$C$14)&amp;"/"&amp;YEAR(Parameters!$C$14)&amp;" (toegepaste indexfactor: "&amp;ROUND($C$11,4)&amp;")."</f>
        <v>Jaarlijkse kosten worden geïndexeerd vanaf 1/1/2027 (toegepaste indexfactor: 1).</v>
      </c>
    </row>
    <row r="43" ht="15.75" customHeight="1">
      <c r="B43" s="63" t="s">
        <v>37</v>
      </c>
    </row>
    <row r="44" ht="15.75" customHeight="1">
      <c r="B44" s="63" t="s">
        <v>38</v>
      </c>
    </row>
    <row r="45" ht="15.75" customHeight="1">
      <c r="B45" s="63" t="s">
        <v>39</v>
      </c>
    </row>
    <row r="46" ht="15.75" customHeight="1">
      <c r="B46" s="63" t="s">
        <v>40</v>
      </c>
    </row>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B34:F34"/>
    <mergeCell ref="B35:F35"/>
    <mergeCell ref="B36:F36"/>
    <mergeCell ref="C2:M3"/>
    <mergeCell ref="C4:M4"/>
    <mergeCell ref="B14:D14"/>
    <mergeCell ref="E14:F14"/>
    <mergeCell ref="G14:H14"/>
    <mergeCell ref="I14:L14"/>
    <mergeCell ref="B33:F33"/>
  </mergeCells>
  <printOptions/>
  <pageMargins bottom="1.0" footer="0.0" header="0.0" left="0.75" right="0.75" top="1.0"/>
  <pageSetup fitToHeight="0"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0"/>
    <col customWidth="1" min="2" max="2" width="46.0"/>
    <col customWidth="1" min="3" max="3" width="16.0"/>
    <col customWidth="1" min="4" max="4" width="72.0"/>
    <col customWidth="1" min="5" max="5" width="3.0"/>
    <col customWidth="1" min="6" max="6" width="22.0"/>
    <col customWidth="1" min="7" max="7" width="28.0"/>
  </cols>
  <sheetData>
    <row r="2">
      <c r="B2" s="94" t="s">
        <v>44</v>
      </c>
    </row>
    <row r="3">
      <c r="B3" s="95" t="s">
        <v>45</v>
      </c>
    </row>
    <row r="5">
      <c r="B5" s="96" t="s">
        <v>46</v>
      </c>
      <c r="C5" s="96" t="s">
        <v>47</v>
      </c>
      <c r="D5" s="96" t="s">
        <v>48</v>
      </c>
    </row>
    <row r="6" ht="27.75" customHeight="1">
      <c r="B6" s="97" t="s">
        <v>49</v>
      </c>
      <c r="C6" s="98">
        <v>726.0</v>
      </c>
      <c r="D6" s="99" t="s">
        <v>50</v>
      </c>
      <c r="G6" s="100" t="s">
        <v>51</v>
      </c>
    </row>
    <row r="7" ht="27.75" customHeight="1">
      <c r="B7" s="97" t="s">
        <v>52</v>
      </c>
      <c r="C7" s="98">
        <v>1200.0</v>
      </c>
      <c r="D7" s="99" t="s">
        <v>53</v>
      </c>
      <c r="G7" s="100" t="s">
        <v>54</v>
      </c>
    </row>
    <row r="8" ht="27.75" customHeight="1">
      <c r="B8" s="97" t="s">
        <v>55</v>
      </c>
      <c r="C8" s="98">
        <v>200.0</v>
      </c>
      <c r="D8" s="99" t="s">
        <v>56</v>
      </c>
      <c r="G8" s="100" t="s">
        <v>57</v>
      </c>
    </row>
    <row r="9" ht="27.75" customHeight="1">
      <c r="B9" s="97" t="s">
        <v>58</v>
      </c>
      <c r="C9" s="101">
        <v>0.11</v>
      </c>
      <c r="D9" s="99" t="s">
        <v>59</v>
      </c>
      <c r="G9" s="100" t="s">
        <v>60</v>
      </c>
    </row>
    <row r="10" ht="27.75" customHeight="1">
      <c r="B10" s="97" t="s">
        <v>61</v>
      </c>
      <c r="C10" s="102">
        <v>0.21</v>
      </c>
      <c r="D10" s="99" t="s">
        <v>62</v>
      </c>
    </row>
    <row r="11" ht="27.75" customHeight="1">
      <c r="B11" s="97" t="s">
        <v>63</v>
      </c>
      <c r="C11" s="103" t="s">
        <v>64</v>
      </c>
      <c r="D11" s="99" t="s">
        <v>65</v>
      </c>
    </row>
    <row r="13">
      <c r="B13" s="96" t="s">
        <v>66</v>
      </c>
      <c r="C13" s="96" t="s">
        <v>47</v>
      </c>
      <c r="D13" s="96" t="s">
        <v>48</v>
      </c>
    </row>
    <row r="14" ht="27.75" customHeight="1">
      <c r="B14" s="97" t="s">
        <v>67</v>
      </c>
      <c r="C14" s="104">
        <v>46388.0</v>
      </c>
      <c r="D14" s="99" t="s">
        <v>68</v>
      </c>
    </row>
    <row r="15" ht="27.75" customHeight="1">
      <c r="B15" s="97" t="s">
        <v>69</v>
      </c>
      <c r="C15" s="105">
        <v>100.0</v>
      </c>
      <c r="D15" s="99" t="s">
        <v>70</v>
      </c>
    </row>
    <row r="16" ht="27.75" customHeight="1">
      <c r="B16" s="97" t="s">
        <v>71</v>
      </c>
      <c r="C16" s="105">
        <v>100.0</v>
      </c>
      <c r="D16" s="99" t="s">
        <v>72</v>
      </c>
    </row>
    <row r="17" ht="27.75" customHeight="1">
      <c r="B17" s="97" t="s">
        <v>73</v>
      </c>
      <c r="C17" s="106">
        <f>IF(C15&gt;0,C16/C15,1)</f>
        <v>1</v>
      </c>
      <c r="D17" s="99" t="s">
        <v>74</v>
      </c>
    </row>
    <row r="19">
      <c r="B19" s="96" t="s">
        <v>75</v>
      </c>
      <c r="C19" s="96" t="s">
        <v>47</v>
      </c>
      <c r="D19" s="96" t="s">
        <v>48</v>
      </c>
    </row>
    <row r="20" ht="27.75" customHeight="1">
      <c r="B20" s="97" t="s">
        <v>76</v>
      </c>
      <c r="C20" s="107">
        <v>9.0</v>
      </c>
      <c r="D20" s="99" t="s">
        <v>77</v>
      </c>
    </row>
    <row r="21" ht="15.75" customHeight="1"/>
    <row r="22" ht="15.75" customHeight="1"/>
    <row r="23" ht="15.75" customHeight="1">
      <c r="B23" s="108" t="s">
        <v>78</v>
      </c>
    </row>
    <row r="24" ht="15.75" customHeight="1">
      <c r="B24" s="63" t="s">
        <v>79</v>
      </c>
    </row>
    <row r="25" ht="15.75" customHeight="1">
      <c r="B25" s="63" t="s">
        <v>80</v>
      </c>
    </row>
    <row r="26" ht="15.75" customHeight="1">
      <c r="B26" s="63" t="s">
        <v>81</v>
      </c>
    </row>
    <row r="27" ht="15.75" customHeight="1">
      <c r="B27" s="63" t="s">
        <v>82</v>
      </c>
    </row>
    <row r="28" ht="15.75" customHeight="1">
      <c r="B28" s="63" t="s">
        <v>83</v>
      </c>
    </row>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decimal" allowBlank="1" showInputMessage="1" showErrorMessage="1" prompt="Maand tussen 1 en 12." sqref="C20">
      <formula1>1.0</formula1>
      <formula2>12.0</formula2>
    </dataValidation>
  </dataValidations>
  <printOptions/>
  <pageMargins bottom="1.0" footer="0.0" header="0.0" left="0.75" right="0.75" top="1.0"/>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0"/>
    <col customWidth="1" min="2" max="2" width="26.0"/>
    <col customWidth="1" min="3" max="3" width="13.0"/>
    <col customWidth="1" min="4" max="4" width="14.0"/>
    <col customWidth="1" min="5" max="6" width="13.0"/>
    <col customWidth="1" min="7" max="8" width="15.0"/>
    <col customWidth="1" min="9" max="9" width="12.0"/>
  </cols>
  <sheetData>
    <row r="2">
      <c r="B2" s="94" t="s">
        <v>84</v>
      </c>
    </row>
    <row r="3">
      <c r="B3" s="95" t="s">
        <v>85</v>
      </c>
    </row>
    <row r="5">
      <c r="B5" s="109" t="s">
        <v>86</v>
      </c>
    </row>
    <row r="6" ht="27.75" customHeight="1">
      <c r="B6" s="20" t="s">
        <v>87</v>
      </c>
      <c r="C6" s="20" t="s">
        <v>88</v>
      </c>
      <c r="D6" s="20" t="s">
        <v>89</v>
      </c>
      <c r="E6" s="20" t="s">
        <v>90</v>
      </c>
      <c r="F6" s="20" t="s">
        <v>91</v>
      </c>
      <c r="G6" s="20" t="s">
        <v>92</v>
      </c>
      <c r="H6" s="20" t="s">
        <v>93</v>
      </c>
      <c r="I6" s="20" t="s">
        <v>94</v>
      </c>
    </row>
    <row r="7">
      <c r="B7" s="110" t="s">
        <v>95</v>
      </c>
      <c r="C7" s="111">
        <v>2000.0</v>
      </c>
      <c r="D7" s="112">
        <f>ROUND(Parameters!$C$7,2)</f>
        <v>1200</v>
      </c>
      <c r="E7" s="112">
        <f>ROUND(Parameters!$C$8,2)</f>
        <v>200</v>
      </c>
      <c r="F7" s="112">
        <f>ROUND(C7*Parameters!$C$9,2)</f>
        <v>220</v>
      </c>
      <c r="G7" s="112">
        <f t="shared" ref="G7:G12" si="1">D7+E7+F7</f>
        <v>1620</v>
      </c>
      <c r="H7" s="113">
        <v>1620.0</v>
      </c>
      <c r="I7" s="114">
        <f t="shared" ref="I7:I12" si="2">ROUND(G7,0)-H7</f>
        <v>0</v>
      </c>
    </row>
    <row r="8">
      <c r="B8" s="110" t="s">
        <v>96</v>
      </c>
      <c r="C8" s="111">
        <v>3300.0</v>
      </c>
      <c r="D8" s="112">
        <f>ROUND(Parameters!$C$7,2)</f>
        <v>1200</v>
      </c>
      <c r="E8" s="112">
        <f>ROUND(Parameters!$C$8,2)</f>
        <v>200</v>
      </c>
      <c r="F8" s="112">
        <f>ROUND(C8*Parameters!$C$9,2)</f>
        <v>363</v>
      </c>
      <c r="G8" s="112">
        <f t="shared" si="1"/>
        <v>1763</v>
      </c>
      <c r="H8" s="113">
        <v>1763.0</v>
      </c>
      <c r="I8" s="114">
        <f t="shared" si="2"/>
        <v>0</v>
      </c>
    </row>
    <row r="9">
      <c r="B9" s="110" t="s">
        <v>97</v>
      </c>
      <c r="C9" s="111">
        <v>3749.0</v>
      </c>
      <c r="D9" s="112">
        <f>ROUND(Parameters!$C$7,2)</f>
        <v>1200</v>
      </c>
      <c r="E9" s="112">
        <f>ROUND(Parameters!$C$8,2)</f>
        <v>200</v>
      </c>
      <c r="F9" s="112">
        <f>ROUND(C9*Parameters!$C$9,2)</f>
        <v>412.39</v>
      </c>
      <c r="G9" s="112">
        <f t="shared" si="1"/>
        <v>1812.39</v>
      </c>
      <c r="H9" s="113">
        <v>1812.0</v>
      </c>
      <c r="I9" s="114">
        <f t="shared" si="2"/>
        <v>0</v>
      </c>
    </row>
    <row r="10">
      <c r="B10" s="110" t="s">
        <v>98</v>
      </c>
      <c r="C10" s="111">
        <v>5500.0</v>
      </c>
      <c r="D10" s="112">
        <f>ROUND(Parameters!$C$7,2)</f>
        <v>1200</v>
      </c>
      <c r="E10" s="112">
        <f>ROUND(Parameters!$C$8,2)</f>
        <v>200</v>
      </c>
      <c r="F10" s="112">
        <f>ROUND(C10*Parameters!$C$9,2)</f>
        <v>605</v>
      </c>
      <c r="G10" s="112">
        <f t="shared" si="1"/>
        <v>2005</v>
      </c>
      <c r="H10" s="113">
        <v>2005.0</v>
      </c>
      <c r="I10" s="114">
        <f t="shared" si="2"/>
        <v>0</v>
      </c>
    </row>
    <row r="11">
      <c r="B11" s="110" t="s">
        <v>99</v>
      </c>
      <c r="C11" s="111">
        <v>7000.0</v>
      </c>
      <c r="D11" s="112">
        <f>ROUND(Parameters!$C$7,2)</f>
        <v>1200</v>
      </c>
      <c r="E11" s="112">
        <f>ROUND(Parameters!$C$8,2)</f>
        <v>200</v>
      </c>
      <c r="F11" s="112">
        <f>ROUND(C11*Parameters!$C$9,2)</f>
        <v>770</v>
      </c>
      <c r="G11" s="112">
        <f t="shared" si="1"/>
        <v>2170</v>
      </c>
      <c r="H11" s="113">
        <v>2170.0</v>
      </c>
      <c r="I11" s="114">
        <f t="shared" si="2"/>
        <v>0</v>
      </c>
    </row>
    <row r="12">
      <c r="B12" s="110" t="s">
        <v>100</v>
      </c>
      <c r="C12" s="111">
        <v>10000.0</v>
      </c>
      <c r="D12" s="112">
        <f>ROUND(Parameters!$C$7,2)</f>
        <v>1200</v>
      </c>
      <c r="E12" s="112">
        <f>ROUND(Parameters!$C$8,2)</f>
        <v>200</v>
      </c>
      <c r="F12" s="112">
        <f>ROUND(C12*Parameters!$C$9,2)</f>
        <v>1100</v>
      </c>
      <c r="G12" s="112">
        <f t="shared" si="1"/>
        <v>2500</v>
      </c>
      <c r="H12" s="113">
        <v>2500.0</v>
      </c>
      <c r="I12" s="114">
        <f t="shared" si="2"/>
        <v>0</v>
      </c>
    </row>
    <row r="15">
      <c r="B15" s="109" t="s">
        <v>101</v>
      </c>
    </row>
    <row r="16" ht="27.75" customHeight="1">
      <c r="B16" s="20" t="s">
        <v>17</v>
      </c>
      <c r="C16" s="20" t="s">
        <v>88</v>
      </c>
      <c r="D16" s="20" t="s">
        <v>102</v>
      </c>
      <c r="E16" s="20" t="s">
        <v>103</v>
      </c>
      <c r="F16" s="20" t="s">
        <v>91</v>
      </c>
      <c r="G16" s="20" t="s">
        <v>92</v>
      </c>
      <c r="H16" s="20" t="s">
        <v>93</v>
      </c>
      <c r="I16" s="20" t="s">
        <v>94</v>
      </c>
    </row>
    <row r="17">
      <c r="B17" s="110" t="s">
        <v>104</v>
      </c>
      <c r="C17" s="111">
        <v>7587.0</v>
      </c>
      <c r="D17" s="112">
        <f>ROUND(Parameters!$C$7*C17/SUM($C$17:$C$21),2)</f>
        <v>701.04</v>
      </c>
      <c r="E17" s="112">
        <f>ROUND(Parameters!$C$8,2)</f>
        <v>200</v>
      </c>
      <c r="F17" s="112">
        <f>ROUND(C17*Parameters!$C$9,2)</f>
        <v>834.57</v>
      </c>
      <c r="G17" s="112">
        <f t="shared" ref="G17:G21" si="3">D17+E17+F17</f>
        <v>1735.61</v>
      </c>
      <c r="H17" s="113">
        <v>1736.0</v>
      </c>
      <c r="I17" s="114">
        <f t="shared" ref="I17:I22" si="4">ROUND(G17,0)-H17</f>
        <v>0</v>
      </c>
    </row>
    <row r="18">
      <c r="B18" s="110" t="s">
        <v>105</v>
      </c>
      <c r="C18" s="111">
        <v>3900.0</v>
      </c>
      <c r="D18" s="112">
        <f>ROUND(Parameters!$C$7*C18/SUM($C$17:$C$21),2)</f>
        <v>360.36</v>
      </c>
      <c r="E18" s="112">
        <f>ROUND(Parameters!$C$8,2)</f>
        <v>200</v>
      </c>
      <c r="F18" s="112">
        <f>ROUND(C18*Parameters!$C$9,2)</f>
        <v>429</v>
      </c>
      <c r="G18" s="112">
        <f t="shared" si="3"/>
        <v>989.36</v>
      </c>
      <c r="H18" s="113">
        <v>989.0</v>
      </c>
      <c r="I18" s="114">
        <f t="shared" si="4"/>
        <v>0</v>
      </c>
    </row>
    <row r="19">
      <c r="B19" s="110" t="s">
        <v>106</v>
      </c>
      <c r="C19" s="111">
        <v>500.0</v>
      </c>
      <c r="D19" s="112">
        <f>ROUND(Parameters!$C$7*C19/SUM($C$17:$C$21),2)</f>
        <v>46.2</v>
      </c>
      <c r="E19" s="112">
        <f>ROUND(Parameters!$C$8,2)</f>
        <v>200</v>
      </c>
      <c r="F19" s="112">
        <f>ROUND(C19*Parameters!$C$9,2)</f>
        <v>55</v>
      </c>
      <c r="G19" s="112">
        <f t="shared" si="3"/>
        <v>301.2</v>
      </c>
      <c r="H19" s="113">
        <v>301.0</v>
      </c>
      <c r="I19" s="114">
        <f t="shared" si="4"/>
        <v>0</v>
      </c>
    </row>
    <row r="20">
      <c r="B20" s="110" t="s">
        <v>107</v>
      </c>
      <c r="C20" s="111">
        <v>500.0</v>
      </c>
      <c r="D20" s="112">
        <f>ROUND(Parameters!$C$7*C20/SUM($C$17:$C$21),2)</f>
        <v>46.2</v>
      </c>
      <c r="E20" s="112">
        <f>ROUND(Parameters!$C$8,2)</f>
        <v>200</v>
      </c>
      <c r="F20" s="112">
        <f>ROUND(C20*Parameters!$C$9,2)</f>
        <v>55</v>
      </c>
      <c r="G20" s="112">
        <f t="shared" si="3"/>
        <v>301.2</v>
      </c>
      <c r="H20" s="113">
        <v>301.0</v>
      </c>
      <c r="I20" s="114">
        <f t="shared" si="4"/>
        <v>0</v>
      </c>
    </row>
    <row r="21" ht="15.75" customHeight="1">
      <c r="B21" s="110" t="s">
        <v>108</v>
      </c>
      <c r="C21" s="111">
        <v>500.0</v>
      </c>
      <c r="D21" s="112">
        <f>ROUND(Parameters!$C$7*C21/SUM($C$17:$C$21),2)</f>
        <v>46.2</v>
      </c>
      <c r="E21" s="112">
        <f>ROUND(Parameters!$C$8,2)</f>
        <v>200</v>
      </c>
      <c r="F21" s="112">
        <f>ROUND(C21*Parameters!$C$9,2)</f>
        <v>55</v>
      </c>
      <c r="G21" s="112">
        <f t="shared" si="3"/>
        <v>301.2</v>
      </c>
      <c r="H21" s="113">
        <v>301.0</v>
      </c>
      <c r="I21" s="114">
        <f t="shared" si="4"/>
        <v>0</v>
      </c>
    </row>
    <row r="22" ht="15.75" customHeight="1">
      <c r="B22" s="115" t="s">
        <v>109</v>
      </c>
      <c r="C22" s="116">
        <f t="shared" ref="C22:G22" si="5">SUM(C17:C21)</f>
        <v>12987</v>
      </c>
      <c r="D22" s="117">
        <f t="shared" si="5"/>
        <v>1200</v>
      </c>
      <c r="E22" s="117">
        <f t="shared" si="5"/>
        <v>1000</v>
      </c>
      <c r="F22" s="117">
        <f t="shared" si="5"/>
        <v>1428.57</v>
      </c>
      <c r="G22" s="117">
        <f t="shared" si="5"/>
        <v>3628.57</v>
      </c>
      <c r="H22" s="117">
        <v>3629.0</v>
      </c>
      <c r="I22" s="118">
        <f t="shared" si="4"/>
        <v>0</v>
      </c>
    </row>
    <row r="23" ht="15.75" customHeight="1"/>
    <row r="24" ht="15.75" customHeight="1">
      <c r="B24" s="71" t="s">
        <v>110</v>
      </c>
    </row>
    <row r="25" ht="15.75" customHeight="1">
      <c r="B25" s="71" t="s">
        <v>111</v>
      </c>
    </row>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onditionalFormatting sqref="I7:I22">
    <cfRule type="expression" dxfId="0" priority="1">
      <formula>AND(ISNUMBER(I7),I7&lt;&gt;0)</formula>
    </cfRule>
  </conditionalFormatting>
  <conditionalFormatting sqref="I7:I22">
    <cfRule type="expression" dxfId="1" priority="2">
      <formula>AND(ISNUMBER(I7),I7=0)</formula>
    </cfRule>
  </conditionalFormatting>
  <printOptions/>
  <pageMargins bottom="1.0" footer="0.0" header="0.0" left="0.75" right="0.75" top="1.0"/>
  <pageSetup paperSize="9" orientation="portrait"/>
  <drawing r:id="rId1"/>
</worksheet>
</file>